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d.docs.live.net/1575c0c94ea23de8/Emlurb/Projetos/Transparência e Tribunal de Contas/Mapa Demonstrativo de Obras/"/>
    </mc:Choice>
  </mc:AlternateContent>
  <xr:revisionPtr revIDLastSave="1" documentId="8_{51B01F9F-5F9E-4D82-8334-2DC7A31B0311}" xr6:coauthVersionLast="47" xr6:coauthVersionMax="47" xr10:uidLastSave="{E7E0EFAC-656B-4DC8-9639-B3E8C372FA35}"/>
  <bookViews>
    <workbookView xWindow="-120" yWindow="-120" windowWidth="20730" windowHeight="11040" xr2:uid="{9943ADE9-119F-46A1-A493-0491F2D2A8B1}"/>
  </bookViews>
  <sheets>
    <sheet name="1º TRIMESTRE" sheetId="1" r:id="rId1"/>
  </sheets>
  <definedNames>
    <definedName name="_xlnm._FilterDatabase" localSheetId="0" hidden="1">'1º TRIMESTRE'!$A$7:$DC$152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2" i="1" l="1"/>
  <c r="M152" i="1"/>
  <c r="T151" i="1"/>
  <c r="M151" i="1"/>
  <c r="T150" i="1"/>
  <c r="M150" i="1"/>
  <c r="T149" i="1"/>
  <c r="M149" i="1"/>
  <c r="T148" i="1"/>
  <c r="M148" i="1"/>
  <c r="T147" i="1"/>
  <c r="M147" i="1"/>
  <c r="T146" i="1"/>
  <c r="M146" i="1"/>
  <c r="T145" i="1"/>
  <c r="M145" i="1"/>
  <c r="T144" i="1"/>
  <c r="M144" i="1"/>
  <c r="T143" i="1"/>
  <c r="M143" i="1"/>
  <c r="T142" i="1"/>
  <c r="M142" i="1"/>
  <c r="T141" i="1"/>
  <c r="M141" i="1"/>
  <c r="T140" i="1"/>
  <c r="M140" i="1"/>
  <c r="T139" i="1"/>
  <c r="M139" i="1"/>
  <c r="T138" i="1"/>
  <c r="M138" i="1"/>
  <c r="T137" i="1"/>
  <c r="M137" i="1"/>
  <c r="T136" i="1"/>
  <c r="R136" i="1"/>
  <c r="M136" i="1"/>
  <c r="T135" i="1"/>
  <c r="M135" i="1"/>
  <c r="T134" i="1"/>
  <c r="R134" i="1"/>
  <c r="O134" i="1"/>
  <c r="M134" i="1"/>
  <c r="T133" i="1"/>
  <c r="R133" i="1"/>
  <c r="O133" i="1"/>
  <c r="M133" i="1"/>
  <c r="T132" i="1"/>
  <c r="R132" i="1"/>
  <c r="O132" i="1"/>
  <c r="M132" i="1"/>
  <c r="T131" i="1"/>
  <c r="M131" i="1"/>
  <c r="T130" i="1"/>
  <c r="M130" i="1"/>
  <c r="T129" i="1"/>
  <c r="M129" i="1"/>
  <c r="T128" i="1"/>
  <c r="R128" i="1"/>
  <c r="M128" i="1"/>
  <c r="T127" i="1"/>
  <c r="M127" i="1"/>
  <c r="T126" i="1"/>
  <c r="R126" i="1"/>
  <c r="M126" i="1"/>
  <c r="T125" i="1"/>
  <c r="M125" i="1"/>
  <c r="T124" i="1"/>
  <c r="R124" i="1"/>
  <c r="M124" i="1"/>
  <c r="T123" i="1"/>
  <c r="M123" i="1"/>
  <c r="T122" i="1"/>
  <c r="R122" i="1"/>
  <c r="M122" i="1"/>
  <c r="T121" i="1"/>
  <c r="R121" i="1"/>
  <c r="O121" i="1"/>
  <c r="M121" i="1"/>
  <c r="T120" i="1"/>
  <c r="R120" i="1"/>
  <c r="M120" i="1"/>
  <c r="T119" i="1"/>
  <c r="R119" i="1"/>
  <c r="M119" i="1"/>
  <c r="T118" i="1"/>
  <c r="R118" i="1"/>
  <c r="O118" i="1"/>
  <c r="M118" i="1"/>
  <c r="T117" i="1"/>
  <c r="R117" i="1"/>
  <c r="M117" i="1"/>
  <c r="T116" i="1"/>
  <c r="R116" i="1"/>
  <c r="M116" i="1"/>
  <c r="T115" i="1"/>
  <c r="R115" i="1"/>
  <c r="M115" i="1"/>
  <c r="T114" i="1"/>
  <c r="M114" i="1"/>
  <c r="T113" i="1"/>
  <c r="M113" i="1"/>
  <c r="T112" i="1"/>
  <c r="R112" i="1"/>
  <c r="M112" i="1"/>
  <c r="T111" i="1"/>
  <c r="R111" i="1"/>
  <c r="M111" i="1"/>
  <c r="T110" i="1"/>
  <c r="R110" i="1"/>
  <c r="O110" i="1"/>
  <c r="M110" i="1"/>
  <c r="T109" i="1"/>
  <c r="R109" i="1"/>
  <c r="M109" i="1"/>
  <c r="T108" i="1"/>
  <c r="R108" i="1"/>
  <c r="M108" i="1"/>
  <c r="T107" i="1"/>
  <c r="R107" i="1"/>
  <c r="P107" i="1"/>
  <c r="M107" i="1"/>
  <c r="T106" i="1"/>
  <c r="R106" i="1"/>
  <c r="M106" i="1"/>
  <c r="T105" i="1"/>
  <c r="R105" i="1"/>
  <c r="M105" i="1"/>
  <c r="T104" i="1"/>
  <c r="R104" i="1"/>
  <c r="O104" i="1"/>
  <c r="M104" i="1"/>
  <c r="T103" i="1"/>
  <c r="R103" i="1"/>
  <c r="M103" i="1"/>
  <c r="T102" i="1"/>
  <c r="M102" i="1"/>
  <c r="T101" i="1"/>
  <c r="R101" i="1"/>
  <c r="M101" i="1"/>
  <c r="T100" i="1"/>
  <c r="R100" i="1"/>
  <c r="M100" i="1"/>
  <c r="T99" i="1"/>
  <c r="R99" i="1"/>
  <c r="O99" i="1"/>
  <c r="M99" i="1"/>
  <c r="T98" i="1"/>
  <c r="R98" i="1"/>
  <c r="P98" i="1"/>
  <c r="M98" i="1"/>
  <c r="T97" i="1"/>
  <c r="R97" i="1"/>
  <c r="M97" i="1"/>
  <c r="T96" i="1"/>
  <c r="R96" i="1"/>
  <c r="P96" i="1"/>
  <c r="M96" i="1"/>
  <c r="T95" i="1"/>
  <c r="R95" i="1"/>
  <c r="M95" i="1"/>
  <c r="T94" i="1"/>
  <c r="R94" i="1"/>
  <c r="P94" i="1"/>
  <c r="M94" i="1"/>
  <c r="T93" i="1"/>
  <c r="R93" i="1"/>
  <c r="M93" i="1"/>
  <c r="T92" i="1"/>
  <c r="M92" i="1"/>
  <c r="T91" i="1"/>
  <c r="R91" i="1"/>
  <c r="M91" i="1"/>
  <c r="T90" i="1"/>
  <c r="R90" i="1"/>
  <c r="O90" i="1"/>
  <c r="M90" i="1"/>
  <c r="T89" i="1"/>
  <c r="M89" i="1"/>
  <c r="T88" i="1"/>
  <c r="R88" i="1"/>
  <c r="M88" i="1"/>
  <c r="T87" i="1"/>
  <c r="M87" i="1"/>
  <c r="T86" i="1"/>
  <c r="M86" i="1"/>
  <c r="T85" i="1"/>
  <c r="R85" i="1"/>
  <c r="M85" i="1"/>
  <c r="T84" i="1"/>
  <c r="R84" i="1"/>
  <c r="N84" i="1"/>
  <c r="M84" i="1"/>
  <c r="T83" i="1"/>
  <c r="R83" i="1"/>
  <c r="M83" i="1"/>
  <c r="T82" i="1"/>
  <c r="R82" i="1"/>
  <c r="O82" i="1"/>
  <c r="N82" i="1"/>
  <c r="M82" i="1"/>
  <c r="T81" i="1"/>
  <c r="R81" i="1"/>
  <c r="P81" i="1"/>
  <c r="O81" i="1"/>
  <c r="M81" i="1"/>
  <c r="T80" i="1"/>
  <c r="M80" i="1"/>
  <c r="T79" i="1"/>
  <c r="R79" i="1"/>
  <c r="M79" i="1"/>
  <c r="T78" i="1"/>
  <c r="M78" i="1"/>
  <c r="T77" i="1"/>
  <c r="O77" i="1"/>
  <c r="M77" i="1"/>
  <c r="T76" i="1"/>
  <c r="R76" i="1"/>
  <c r="O76" i="1"/>
  <c r="M76" i="1"/>
  <c r="T75" i="1"/>
  <c r="R75" i="1"/>
  <c r="M75" i="1"/>
  <c r="T74" i="1"/>
  <c r="R74" i="1"/>
  <c r="M74" i="1"/>
  <c r="T73" i="1"/>
  <c r="R73" i="1"/>
  <c r="O73" i="1"/>
  <c r="N73" i="1"/>
  <c r="M73" i="1" s="1"/>
  <c r="T72" i="1"/>
  <c r="R72" i="1"/>
  <c r="N72" i="1"/>
  <c r="M72" i="1"/>
  <c r="T71" i="1"/>
  <c r="R71" i="1"/>
  <c r="P71" i="1"/>
  <c r="M71" i="1"/>
  <c r="T70" i="1"/>
  <c r="R70" i="1"/>
  <c r="M70" i="1"/>
  <c r="T69" i="1"/>
  <c r="R69" i="1"/>
  <c r="M69" i="1"/>
  <c r="T68" i="1"/>
  <c r="M68" i="1"/>
  <c r="T67" i="1"/>
  <c r="R67" i="1"/>
  <c r="O67" i="1"/>
  <c r="M67" i="1"/>
  <c r="T66" i="1"/>
  <c r="R66" i="1"/>
  <c r="M66" i="1"/>
  <c r="T65" i="1"/>
  <c r="R65" i="1"/>
  <c r="O65" i="1"/>
  <c r="M65" i="1"/>
  <c r="T64" i="1"/>
  <c r="R64" i="1"/>
  <c r="O64" i="1"/>
  <c r="N64" i="1"/>
  <c r="M64" i="1"/>
  <c r="T63" i="1"/>
  <c r="R63" i="1"/>
  <c r="M63" i="1"/>
  <c r="T62" i="1"/>
  <c r="M62" i="1"/>
  <c r="T61" i="1"/>
  <c r="R61" i="1"/>
  <c r="M61" i="1"/>
  <c r="T60" i="1"/>
  <c r="R60" i="1"/>
  <c r="M60" i="1"/>
  <c r="T59" i="1"/>
  <c r="M59" i="1"/>
  <c r="T58" i="1"/>
  <c r="R58" i="1"/>
  <c r="M58" i="1"/>
  <c r="T57" i="1"/>
  <c r="M57" i="1"/>
  <c r="T56" i="1"/>
  <c r="R56" i="1"/>
  <c r="M56" i="1"/>
  <c r="T55" i="1"/>
  <c r="R55" i="1"/>
  <c r="M55" i="1"/>
  <c r="T54" i="1"/>
  <c r="R54" i="1"/>
  <c r="O54" i="1"/>
  <c r="M54" i="1"/>
  <c r="T53" i="1"/>
  <c r="R53" i="1"/>
  <c r="M53" i="1"/>
  <c r="T52" i="1"/>
  <c r="R52" i="1"/>
  <c r="M52" i="1"/>
  <c r="T51" i="1"/>
  <c r="M51" i="1"/>
  <c r="T50" i="1"/>
  <c r="R50" i="1"/>
  <c r="M50" i="1"/>
  <c r="T49" i="1"/>
  <c r="M49" i="1"/>
  <c r="T48" i="1"/>
  <c r="M48" i="1"/>
  <c r="T47" i="1"/>
  <c r="R47" i="1"/>
  <c r="N47" i="1"/>
  <c r="M47" i="1"/>
  <c r="T46" i="1"/>
  <c r="R46" i="1"/>
  <c r="M46" i="1"/>
  <c r="T45" i="1"/>
  <c r="R45" i="1"/>
  <c r="M45" i="1"/>
  <c r="T44" i="1"/>
  <c r="R44" i="1"/>
  <c r="M44" i="1"/>
  <c r="T43" i="1"/>
  <c r="N43" i="1"/>
  <c r="M43" i="1"/>
  <c r="T42" i="1"/>
  <c r="R42" i="1"/>
  <c r="M42" i="1"/>
  <c r="T41" i="1"/>
  <c r="R41" i="1"/>
  <c r="N41" i="1"/>
  <c r="M41" i="1"/>
  <c r="T40" i="1"/>
  <c r="R40" i="1"/>
  <c r="O40" i="1"/>
  <c r="N40" i="1"/>
  <c r="M40" i="1"/>
  <c r="T39" i="1"/>
  <c r="M39" i="1"/>
  <c r="T38" i="1"/>
  <c r="R38" i="1"/>
  <c r="M38" i="1"/>
  <c r="T37" i="1"/>
  <c r="R37" i="1"/>
  <c r="N37" i="1"/>
  <c r="M37" i="1"/>
  <c r="T36" i="1"/>
  <c r="R36" i="1"/>
  <c r="O36" i="1"/>
  <c r="M36" i="1"/>
  <c r="T35" i="1"/>
  <c r="R35" i="1"/>
  <c r="M35" i="1"/>
  <c r="T34" i="1"/>
  <c r="R34" i="1"/>
  <c r="O34" i="1"/>
  <c r="M34" i="1"/>
  <c r="T33" i="1"/>
  <c r="R33" i="1"/>
  <c r="O33" i="1"/>
  <c r="M33" i="1"/>
  <c r="T32" i="1"/>
  <c r="R32" i="1"/>
  <c r="M32" i="1"/>
  <c r="T31" i="1"/>
  <c r="R31" i="1"/>
  <c r="P31" i="1"/>
  <c r="O31" i="1"/>
  <c r="N31" i="1"/>
  <c r="M31" i="1"/>
  <c r="T30" i="1"/>
  <c r="R30" i="1"/>
  <c r="P30" i="1"/>
  <c r="M30" i="1"/>
  <c r="T29" i="1"/>
  <c r="R29" i="1"/>
  <c r="M29" i="1"/>
  <c r="T28" i="1"/>
  <c r="R28" i="1"/>
  <c r="M28" i="1"/>
  <c r="T27" i="1"/>
  <c r="M27" i="1"/>
  <c r="T26" i="1"/>
  <c r="R26" i="1"/>
  <c r="O26" i="1"/>
  <c r="M26" i="1"/>
  <c r="T25" i="1"/>
  <c r="R25" i="1"/>
  <c r="N25" i="1"/>
  <c r="M25" i="1" s="1"/>
  <c r="T24" i="1"/>
  <c r="R24" i="1"/>
  <c r="O24" i="1"/>
  <c r="M24" i="1"/>
  <c r="T23" i="1"/>
  <c r="R23" i="1"/>
  <c r="N23" i="1"/>
  <c r="M23" i="1"/>
  <c r="T22" i="1"/>
  <c r="R22" i="1"/>
  <c r="M22" i="1"/>
  <c r="T21" i="1"/>
  <c r="R21" i="1"/>
  <c r="M21" i="1"/>
  <c r="T20" i="1"/>
  <c r="R20" i="1"/>
  <c r="M20" i="1"/>
  <c r="T19" i="1"/>
  <c r="R19" i="1"/>
  <c r="M19" i="1"/>
  <c r="T18" i="1"/>
  <c r="R18" i="1"/>
  <c r="M18" i="1"/>
  <c r="T17" i="1"/>
  <c r="R17" i="1"/>
  <c r="P17" i="1"/>
  <c r="M17" i="1"/>
  <c r="T16" i="1"/>
  <c r="R16" i="1"/>
  <c r="N16" i="1"/>
  <c r="M16" i="1"/>
  <c r="T15" i="1"/>
  <c r="R15" i="1"/>
  <c r="O15" i="1"/>
  <c r="N15" i="1"/>
  <c r="M15" i="1" s="1"/>
  <c r="T14" i="1"/>
  <c r="R14" i="1"/>
  <c r="M14" i="1"/>
  <c r="T13" i="1"/>
  <c r="R13" i="1"/>
  <c r="P13" i="1"/>
  <c r="M13" i="1"/>
  <c r="T12" i="1"/>
  <c r="R12" i="1"/>
  <c r="M12" i="1"/>
  <c r="T11" i="1"/>
  <c r="R11" i="1"/>
  <c r="P11" i="1"/>
  <c r="M11" i="1"/>
  <c r="T10" i="1"/>
  <c r="M10" i="1"/>
  <c r="T9" i="1"/>
  <c r="M9" i="1"/>
  <c r="T8" i="1"/>
  <c r="R8" i="1"/>
  <c r="P8" i="1"/>
  <c r="M8" i="1"/>
</calcChain>
</file>

<file path=xl/sharedStrings.xml><?xml version="1.0" encoding="utf-8"?>
<sst xmlns="http://schemas.openxmlformats.org/spreadsheetml/2006/main" count="1135" uniqueCount="565">
  <si>
    <t>MAPA DEMONSTRATIVO DE OBRAS E SERVIÇOS DE ENGENHARIA</t>
  </si>
  <si>
    <t>UNIDADE: 5010</t>
  </si>
  <si>
    <t>UNIDADE ORÇAMENTÁRIA: AUTARQUIA DE MANUTENÇÃO E LIMPEZA URBANA – EMLURB</t>
  </si>
  <si>
    <t>EXERCÍCIO: 2023</t>
  </si>
  <si>
    <t xml:space="preserve">MARÍLIA DANTAS DA SILVA –Diretora Presidente </t>
  </si>
  <si>
    <t>PERÍODO REFERENCIAL: JANEIRO A MARÇO</t>
  </si>
  <si>
    <t>Responsável pela Unidade</t>
  </si>
  <si>
    <t>MODALIDADE / Nº LICITAÇÃO</t>
  </si>
  <si>
    <t>IDENTIFICAÇÃO DA OBRA, SERVIÇO OU AQUISIÇÃO</t>
  </si>
  <si>
    <t>CONVÊNIO</t>
  </si>
  <si>
    <t>CONTRATADO</t>
  </si>
  <si>
    <t>CONTRATO</t>
  </si>
  <si>
    <t>ADITIVO</t>
  </si>
  <si>
    <t>EXECUÇÃO</t>
  </si>
  <si>
    <t>SITUAÇÃO</t>
  </si>
  <si>
    <t>Nº/Ano</t>
  </si>
  <si>
    <t>CONCEDENTE</t>
  </si>
  <si>
    <t>REPASSE
(R$)</t>
  </si>
  <si>
    <t>CONTRAPARTIDA (R$)</t>
  </si>
  <si>
    <t>CNPJ/CPF</t>
  </si>
  <si>
    <t>RAZÃO SOCIAL</t>
  </si>
  <si>
    <t>DATA INÍCIO</t>
  </si>
  <si>
    <t>PRAZO</t>
  </si>
  <si>
    <t>VALOR CONTRATADO (R$)</t>
  </si>
  <si>
    <t>DATA CONCLUSÃO / PARALISAÇÃO</t>
  </si>
  <si>
    <t>PRAZO ADITADO</t>
  </si>
  <si>
    <t>VALOR ADITADO ACUMULADO
(R$)</t>
  </si>
  <si>
    <t>VALOR REAJUSTE</t>
  </si>
  <si>
    <t>NATUREZA DA DESPESA</t>
  </si>
  <si>
    <t>VALOR MEDIDO ACUMULADO
(R$)</t>
  </si>
  <si>
    <t>VALOR PAGO ACUMULADO NO PERÍODO
(R$)</t>
  </si>
  <si>
    <t>VALOR PAGO ACUMULADO NO EXERCÍCIO
(R$)</t>
  </si>
  <si>
    <t>VALOR  PAGO ACUMULADO NA OBRA OU SERVIÇO
(R$)</t>
  </si>
  <si>
    <t>CONCORRÊNCIA Licitação: 023/2022</t>
  </si>
  <si>
    <t>SERVIÇOS DE MANUTENÇÃO CORRETIVA (OPERAÇÃO TAPA BURACO) EM CONCRETO BETUMINOSO USINADO À QUENTE - CBUQ, EM CONCRETO PRÉ MISTURADO A FRIO - PMF, DO SISTEMA VIÁRIO DA CIDADE DO RECIFE. LOTE I, RPA 01</t>
  </si>
  <si>
    <t>00.999.591/0001-52</t>
  </si>
  <si>
    <t xml:space="preserve">AGC CONSTRUTORA E EMPREENDIMENTOS LTDA      </t>
  </si>
  <si>
    <t>6-001/23</t>
  </si>
  <si>
    <t>3.3.90.39</t>
  </si>
  <si>
    <t>andamento</t>
  </si>
  <si>
    <t>CONCORRÊNCIA / nº 012/2020</t>
  </si>
  <si>
    <t>CONTRATACAO DOS SERVICOS DE LIMPEZA E MANUTENCAO DO SISTEMA DE MICRODRENAGEM DE AGUAS PLUVIAIS DO MUNICIPIO DO RECIFE RPA 02 E 03</t>
  </si>
  <si>
    <t>07.693.988/0001-60</t>
  </si>
  <si>
    <t>F R F ENGENHARIA LTDA</t>
  </si>
  <si>
    <t>6-002/21</t>
  </si>
  <si>
    <t>encerrado</t>
  </si>
  <si>
    <t>CONCORRÊNCIA / nº 012/2021</t>
  </si>
  <si>
    <t>CONTRATAÇÃO DE EMPRESA DE ENGENHARIA, ESPECIALIZADA EM ILUMINAÇÃO PÚBLICA, PARA SERVIÇOS DE APOIO TÉCNICO PARA CIDADE DO RECIFE.</t>
  </si>
  <si>
    <t>03.834.750/0001-57</t>
  </si>
  <si>
    <t>EIP SERVICOS DE ILUMINACAO LTDA</t>
  </si>
  <si>
    <t>6-002/22</t>
  </si>
  <si>
    <t>SERVIÇOS DE MANUTENÇÃO CORRETIVA (OPERAÇÃO TAPA BURACO) EM CONCRETO BETUMINOSO USINADO À QUENTE - CBUQ, EM CONCRETO PRÉ MISTURADO A FRIO - PMF, DO SISTEMA VIÁRIO DA CIDADE DO RECIFE. LOTE II - RPA 02 E 03</t>
  </si>
  <si>
    <t>6-002/23</t>
  </si>
  <si>
    <t>CONCORRÊNCIA / nº 008/2021</t>
  </si>
  <si>
    <t>CONTRATAÇÃO DE EMPRESA DE ENGENHARIA, ESPECIALIZADA EM ILUMINAÇÃO PÚBLICA, PARA EXECUÇÃO DA MANUTENÇÃO, PREVENTIVA E CORRETIVA, DO SISTEMA DE ILUMINAÇÃO CÊNICA DA CIDADE DO RECIFE</t>
  </si>
  <si>
    <t>532561/2020</t>
  </si>
  <si>
    <t>FINISA</t>
  </si>
  <si>
    <t>6-003/22</t>
  </si>
  <si>
    <t>4.4.90.39</t>
  </si>
  <si>
    <t>SERVIÇOS DE MANUTENÇÃO CORRETIVA (OPERAÇÃO TAPA BURACO) EM CONCRETO BETUMINOSO USINADO À QUENTE - CBUQ, EM CONCRETO PRÉ MISTURADO A FRIO - PMF, DO SISTEMA VIÁRIO DA CIDADE DO RECIFE. LOTE III - RPA 04 E 05</t>
  </si>
  <si>
    <t>6-003/23</t>
  </si>
  <si>
    <t>SERVIÇOS DE MANUTENÇÃO CORRETIVA (OPERAÇÃO TAPA BURACO) EM CONCRETO BETUMINOSO USINADO À QUENTE - CBUQ, EM CONCRETO PRÉ MISTURADO A FRIO - PMF, DO SISTEMA VIÁRIO DA CIDADE DO RECIFE. LOTE IV - RPA 06</t>
  </si>
  <si>
    <t>40.882.060/0001-08</t>
  </si>
  <si>
    <t>LIDERMAC CONSTRUCOES E EQUIPAMENTOS LTDA</t>
  </si>
  <si>
    <t>6-004/23</t>
  </si>
  <si>
    <t>CONCORRÊNCIA Licitação: 022/2022</t>
  </si>
  <si>
    <t>EXECUÇÃO DE OBRAS DE IMPLANTAÇÃO DE DRENAGEM PLUVIAL E PAVIMENTAÇÃO DE RUAS DA CIDADE DO RECIFE, LOCALIZADAS NOS BAIRROS DE SÍTIO DOS PINTOS, BOA VIAGEM E POÇO DA PANELA.    LOTE I</t>
  </si>
  <si>
    <t>007101/2022 e 5636/2023</t>
  </si>
  <si>
    <t xml:space="preserve">BRB e PBL </t>
  </si>
  <si>
    <t>07.157.925/0001-90</t>
  </si>
  <si>
    <t>WB CONSTRUTORA LTDA</t>
  </si>
  <si>
    <t>6-009/23</t>
  </si>
  <si>
    <t>CONCORRÊNCIA Licitação: 025/2022</t>
  </si>
  <si>
    <t>EXECUÇÃO DOS SERVIÇOS DE IMPLANTAÇÃO DA REDE DE DRENAGEM DE ÁGUAS PLUVIAIS E PAVIMENTAÇÃO DE VIAS EM DIVERSAS RPA'S DA CIDADE DO RECIFE</t>
  </si>
  <si>
    <t>03.400.040/0001-19</t>
  </si>
  <si>
    <t>TOPEC EMPREENDIMENTOS E SERVICOS LTDA</t>
  </si>
  <si>
    <t>6-011/23</t>
  </si>
  <si>
    <t>Pregão Eletrônico Licitação: 002/2022</t>
  </si>
  <si>
    <t>CONTRATAÇÃO DE PESSOA S JURÍDICA S ESPECIALIZADA EM ENGENHARIA SANITÁRIA PARA RECEBIMENTO, TRATAMENTO E DISPOSIÇÃO FINAL DE RESÍDUOS DE CONSTRUÇÃO RCC CLASSE A INERTE COLETADOS PELA EMLURB NO MUNICÍPIO DO RECIFE</t>
  </si>
  <si>
    <t>10.877.732/0001-18</t>
  </si>
  <si>
    <t>CICLO AMBIENTAL LTDA</t>
  </si>
  <si>
    <t>6-012/22</t>
  </si>
  <si>
    <t>TOMADA DE PREÇOS Licitação: 007/2022</t>
  </si>
  <si>
    <t>CONTRATAÇÃO DE EMPRESA DE ENGENHARIA CONSULTIVA, ESPECIALIZADA EM PROJETO DE ILUMINAÇÃO CÊNICA E ARQUITETURAL, PARA DESENVOLVIMENTO DE ESTUDOS E ELABORAÇÃO DE PROJETOS DE ILUMINAÇÃO DE PRAÇAS, EDIFICAÇÕES E MONUMENTOS HISTÓRICOS DA CIDADE DO RECIFE</t>
  </si>
  <si>
    <t>13.392.132/0001-58</t>
  </si>
  <si>
    <t>CRX ENGENHARIA LTDA - EPP</t>
  </si>
  <si>
    <t>6-013/23</t>
  </si>
  <si>
    <t>concorrência /nº 001/2021</t>
  </si>
  <si>
    <t>CONTRATACAO DE EMPRESA DE ENGENHARIA ESPECIALIZADA. PARA A OPERACAO. AUTOMACAO E MANUTENCAO ELETRICA E MECANICA DAS ESTACOES DE BOMBEAMENTO E COMPORTAS DA CIDADE DO RECIFE</t>
  </si>
  <si>
    <t>41.116.138/0001-38</t>
  </si>
  <si>
    <t>REAL ENERGY LTDA</t>
  </si>
  <si>
    <t>6-014/21</t>
  </si>
  <si>
    <t>INEX 002/2023</t>
  </si>
  <si>
    <t>CONTRATAÇÃO DE EMPRESA PARA PRESTAÇÃO DO SERVIÇO DE LIMPEZA DE CANAL UTILIZANDO-SE DO PROCESSO DE BARRAGEM MÓVEL EM DIVERSOS CANAIS DA CIDADE DO RECIFE</t>
  </si>
  <si>
    <t>03.366.083/0001-25</t>
  </si>
  <si>
    <t>HIDROMAX CONSTRUÇOES LTDA</t>
  </si>
  <si>
    <t>6-015/23</t>
  </si>
  <si>
    <t>DISP 003/2020</t>
  </si>
  <si>
    <t>MONITORAMENTO AMBIENTAL DO ATERRO CONTROLADO DA MURIBECA E SERVIÇOS DE CONSULTORIA TECNOLÓGICA PARA TRATAMENTO DE RESÍDUOS SÓLIDOS URBANOS</t>
  </si>
  <si>
    <t>11.187.606/0001-02</t>
  </si>
  <si>
    <t xml:space="preserve">ATEPE ASSOCIACAO TECNOLOGICA DE PERNAMBUCO                  </t>
  </si>
  <si>
    <t>6-018/20</t>
  </si>
  <si>
    <t>CONCORRÊNCIA Licitação: 021/2022</t>
  </si>
  <si>
    <t>EXECUÇÃO DOS SERVIÇOS DE IMPLANTAÇÃO DA REDE DE DRENAGEM COM A UTILIZAÇÃO DE TUBOS DE PEAD, E COBERTURA COM PAVIMENTO RÍGIDO OU FLEXÍVEL - LOTE I</t>
  </si>
  <si>
    <t>06.204.246/0001-61</t>
  </si>
  <si>
    <t>ECAM TERRAPLENAGEM E PAVIMENTACAO LTDA</t>
  </si>
  <si>
    <t>6-018/23</t>
  </si>
  <si>
    <t>EXECUÇÃO DOS SERVIÇOS DE IMPLANTAÇÃO DA REDE DE DRENAGEM COM A UTILIZAÇÃO DE TUBOS DE PEAD, E COBERTURA COM PAVIMENTO RÍGIDO OU FLEXÍVEL - LOTE II</t>
  </si>
  <si>
    <t>6-019/23</t>
  </si>
  <si>
    <t>PREGÃO ELETRÔNICO Licitação: 006/2022</t>
  </si>
  <si>
    <t>CONTRATAÇÃO DE EMPRESA ESPECIALIZADA EM SERVIÇOS DE ENGENHARIA AGRONÔMICA COM FINS DE EXECUÇÃO DE SERVIÇOS DE MANUTENÇÃO DO ARBORETO URBANO DAS VIAS PÚBLICAS, PARQUES, PRAÇAS E DEMAIS ÁREAS VERDES DA CIDADE DO RECIFE</t>
  </si>
  <si>
    <t>00.449.936/0001-02</t>
  </si>
  <si>
    <t>ENGEMAIA E CIA LTDA</t>
  </si>
  <si>
    <t>6-020/22</t>
  </si>
  <si>
    <t>EXECUÇÃO DOS SERVIÇOS DE IMPLANTAÇÃO DA REDE DE DRENAGEM COM A UTILIZAÇÃO DE TUBOS DE PEAD, E COBERTURA COM PAVIMENTO RÍGIDO OU FLEXÍVEL - LOTE III</t>
  </si>
  <si>
    <t>10.893.105/0001-70</t>
  </si>
  <si>
    <t>AGILIS CONSTRUTORA LTDA</t>
  </si>
  <si>
    <t>6-020/23</t>
  </si>
  <si>
    <t>CONCORRÊNCIA Licitação: 024/2022</t>
  </si>
  <si>
    <t>RECUPERAÇÃO DE PASSARELAS, PONTILHÕES E ELEMENTOS LIMITADORES DE ESPAÇO OU PROTEÇÃO, NAS DIVERSAS RPA'S NA CIDADE DO RECIFE</t>
  </si>
  <si>
    <t>10.811.370/0001-62</t>
  </si>
  <si>
    <t>GUERRA CONSTRUCOES LTDA</t>
  </si>
  <si>
    <t>6-021/23</t>
  </si>
  <si>
    <t>TOMADA DE PREÇOS Licitação: 001/2022</t>
  </si>
  <si>
    <t>REFORMA COM AMPLIAÇÃO PARA IMPLANTAÇÃO DO SETOR DE FISCALIZAÇÃO STFI , 2 E 3, LOCALIZADA NA RUA JOUBERTE CARVALHO, CASA AMARELA E DIVISÃO DE FISCALIZAÇÃO DVFI 4 E 5 LOCALIZADO NO PARQUE DO CAIARA, AV. MAURÍCIO DE NASSAU, 68 IPUTINGA, RECIFE</t>
  </si>
  <si>
    <t>17.772.572/0001-91</t>
  </si>
  <si>
    <t>CARVALHO PONTES ENGENHARIA LTDA - EPP</t>
  </si>
  <si>
    <t>6-022/22</t>
  </si>
  <si>
    <t>Cancelado</t>
  </si>
  <si>
    <t>TOMADA DE PREÇOS Licitação: 009/2022</t>
  </si>
  <si>
    <t>CONTRATAÇÃO DE EMPRESA ESPECIALIZADA NO RAMO DE ENGENHARIA PARA EXECUÇÃO DOS SERVIÇOS DE REQUALIFICAÇÃO DA PASSARELA DO PINA E URBANISMO DO SEU ENTORNO</t>
  </si>
  <si>
    <t>08.135.535/0001-81</t>
  </si>
  <si>
    <t>CONSTRUTORA FJ LTDA</t>
  </si>
  <si>
    <t>6-022/23</t>
  </si>
  <si>
    <t>CONCORRÊNCIA Licitação: 028/2022</t>
  </si>
  <si>
    <t>SERVIÇOS DE IMPLANTAÇÃO DA REDE DE DRENAGEM DE ÁGUAS PLUVIAIS, E PAVIMENTAÇÃO DE VIAS EM DIVERSAS RPA'S DA CIDADE DO RECIFE</t>
  </si>
  <si>
    <t>02.724.778/0001-79</t>
  </si>
  <si>
    <t>UNITERRA - UNIAO TERRAPLENAGEM E CONSTRUCOES LTDA</t>
  </si>
  <si>
    <t>6-023/23</t>
  </si>
  <si>
    <t>CONCORRÊNCIA Licitação:    004/2019</t>
  </si>
  <si>
    <t>SERVIÇOS COMPLEMENTARES DE LIMPEZA URBANA EM ÁREAS PLANAS E DE TALUDE E SERVIÇOS DE MANUTENÇÃO CONTÍNUA PREVENTIVA E CORRETIVA DA ARBORIZAÇÃO URBANA EM MORROS, INCLUINDO A LOCAÇÃO DE VEÍCULOS E EQUIPAMENTOS.</t>
  </si>
  <si>
    <t>40.884.405/0001-54</t>
  </si>
  <si>
    <t>LOQUIPE LOCACAO DE EQUIPAMENTOS E MAO DE OBRA LTDA</t>
  </si>
  <si>
    <t>6-024/19</t>
  </si>
  <si>
    <t>CONCORRÊNCIA Licitação: 003/2022</t>
  </si>
  <si>
    <t>FORNECIMENTO E INSTAÇÃO DE LUMINARIAS COM TECNOLOGIA LED, COMPATÍVEIS COM SISTEMA DE TELEGESTÃO E REDE ELÉTRICA, PARA ILUMINAÇÃO PÚBLICA DA BR 101, NO TRECHO COMPREENDIDO ENTRE OS KM 69 E KM 78 E OS KM 62 E KM 58</t>
  </si>
  <si>
    <t>01.346.561/0001-00</t>
  </si>
  <si>
    <t>VASCONCELOS E SANTOS LTDA</t>
  </si>
  <si>
    <t>6-025/22</t>
  </si>
  <si>
    <t>CONCORRÊNCIA Licitação: 003/2023</t>
  </si>
  <si>
    <t>RECUPERAÇÃO DE VIAS URBANAS PAVIMENTADAS EM CONCRETO DE CIMENTO PORTLAND, EM TRECHOS DE VIAS NAS RPA'S 1 A 6 DA CIDADE DO RECIFE</t>
  </si>
  <si>
    <t>00.338.885/0001-33</t>
  </si>
  <si>
    <t>NOVATEC CONSTRUCOES E EMPREENDIMENTOS LTDA</t>
  </si>
  <si>
    <t>6-025/23</t>
  </si>
  <si>
    <t>CONCORRÊNCIA Licitação: 001/2023</t>
  </si>
  <si>
    <t>RECUPERAÇÃO DE ESCADARIAS, MUROS E CORRIMÕES LOCALIZADOS NAS DIVERSAS RPAS DA CIDADE DO RECIFE - LOTE I - RPA 2</t>
  </si>
  <si>
    <t>11.523.068/0001-71</t>
  </si>
  <si>
    <t>CONSTRUTORA FAELLA LTDA EPP</t>
  </si>
  <si>
    <t>6-026/23</t>
  </si>
  <si>
    <t>RECUPERAÇÃO DE ESCADARIAS, MUROS E CORRIMÕES LOCALIZADOS NAS DIVERSAS RPAS DA CIDADE DO RECIFE - LOTE II - RPA 3</t>
  </si>
  <si>
    <t>6-027/23</t>
  </si>
  <si>
    <t>CONCORRÊNCIA Licitação: 007/2021</t>
  </si>
  <si>
    <t>CONTRATAÇÃO DE EMPRESA ESPECIALIZADA EM ENGENHARIA PARA ELABORAÇÃO E READEQUAÇÃO DE PROJETOS EXECUTIVOS DE INFRAESTRUTURADA URBANA, PARA AS VIAS DA CIDADE DO RECIFE</t>
  </si>
  <si>
    <t>40.00017-6</t>
  </si>
  <si>
    <t>BANCO DO BRASIL</t>
  </si>
  <si>
    <t>17.883.268/0001-11</t>
  </si>
  <si>
    <t>WRC SOLUCOES - PROJETOS, GEODESIA E CONSTRUÇÃO LTDA</t>
  </si>
  <si>
    <t>6-028/22</t>
  </si>
  <si>
    <t>RECUPERAÇÃO DE ESCADARIAS, MUROS E CORRIMÕES LOCALIZADOS NAS DIVERSAS RPAS DA CIDADE DO RECIFE - LOTE III - RPA 4,5 e 6</t>
  </si>
  <si>
    <t>6-028/23</t>
  </si>
  <si>
    <t>PREGÃO ELETRÔNICO Licitação: 011/2023</t>
  </si>
  <si>
    <t>CONTRATAÇÃO DE EMPRESA ESPECIALIZADA PARA CONFECÇÃO E/OU RESTAURO DE ESCULTURAS, MONUMENTOS E BUSTOS EM DIVERSOS LOCAIS DA CIDADE DO RECIFE. (15.001826/2023-21)</t>
  </si>
  <si>
    <t>08.064.693/0001-98</t>
  </si>
  <si>
    <t>CONCREPOXI ENGENHARIA LTDA</t>
  </si>
  <si>
    <t>6-030/23</t>
  </si>
  <si>
    <t>PREGÃO ELETRÔNICO Licitação: 017/2022</t>
  </si>
  <si>
    <t>MANUTENÇÃO E /OU INSTALAÇÃO DE EQUIPAMENTOS E BRINQUEDOS EM MADEIRA, INSTALADOS EM PARQUES E PRAÇAS DA CIDADE DO RECIFE</t>
  </si>
  <si>
    <t>06.157.352/0001-31</t>
  </si>
  <si>
    <t>JAIR SOUZA DE LIMA SERVICOS E CONSTRUCOES LTDA</t>
  </si>
  <si>
    <t>6-032/22</t>
  </si>
  <si>
    <t>TOMADA DE PREÇOS Licitação: 001/2023</t>
  </si>
  <si>
    <t>RESTAURAÇÃO DA CAPELA DO CEMITÉRIO DE SANTO AMARO, LOCALIZADA NO BAIRRO DE SANTO AMARO</t>
  </si>
  <si>
    <t>6-032/23</t>
  </si>
  <si>
    <t>CONTRATAÇÃO DE EMPESA ESPECIALIZADA DE ENGENHARIA PARAURBANISMO E SEUS ORÇAMENTOS DE CUSTOS PARA VIAS URBANAS DA CIDADE DO RECIFE</t>
  </si>
  <si>
    <t>70.073.275/0001-30</t>
  </si>
  <si>
    <t>GEOSISTEMAS ENGENHARIA E PLANEJAMENTO LTDA</t>
  </si>
  <si>
    <t>6-033/22</t>
  </si>
  <si>
    <t>ELABORAÇÃO E READEQUAÇÃO DE PROJETOS EXECUTIVOS DE INFRAESTRUTURA URBANA, CONTEMPLANDO AS DISCIPLINAS DE GEOMETRIA, PAVIMENTAÇÃO, TERRAPLENAGEM, DRENAGEM, URBANISMO E SEUS ORÇAMENTOS DE CUSTOS PARA VIAS URBANAS DA CIDADE DO RECIFE</t>
  </si>
  <si>
    <t>6-034/22</t>
  </si>
  <si>
    <t>CONCORRÊNCIA Licitação: 026/2022</t>
  </si>
  <si>
    <t>MANUTENÇÃO PREVENTIVA E CORRETIVA DO SISTEMA DE ILUMINAÇÃO PÚBLICA CONVENCIONAL DAS RPA`S 2 E 3 DO MUNICÍPIO DO RECIFE EM POSTES ATÉ 12 METROS DE ALTURA - LOTE II</t>
  </si>
  <si>
    <t>6-034/23</t>
  </si>
  <si>
    <t>CONCORRÊNCIA Licitação: 006/2021</t>
  </si>
  <si>
    <t xml:space="preserve"> IMPLANTAÇÃO DA REDE DE DRENAGEM, PAVIMENTAÇÃO, ACESSIBILIDADE E SINALIZAÇÃO DAS RUAS DESEMBARGADOR VIRGÍLIO DE SA PEREIRA E MATHUZALEM WANDERLEY, LOCALIZADAS NO BAIRRO DO CORDEIRO. LOTE 01</t>
  </si>
  <si>
    <t xml:space="preserve"> 892570/2019</t>
  </si>
  <si>
    <t>Emenda Parlamentar Federal</t>
  </si>
  <si>
    <t>6-035/21</t>
  </si>
  <si>
    <t>CONCORRÊNCIA Licitação: 001/2022</t>
  </si>
  <si>
    <t>SERVIÇO DE MANUTENÇÃO PREVENTIVA DO SISTEMA MACRODRENAGEM EM TODAS AS RPAS DA CIDADE DO RECIFE, LOTE I - RPA 01 E RPA 06</t>
  </si>
  <si>
    <t>01.514.128/0001-36</t>
  </si>
  <si>
    <t>SCAVE SERVICOS DE ENGENHARIA E LOCACAO LTDA</t>
  </si>
  <si>
    <t>6-036/22</t>
  </si>
  <si>
    <t>PREGÃO ELETRÔNICO Licitação: 002/2023</t>
  </si>
  <si>
    <t>FORNECIMENTO E INSTALAÇÃO DE RELÉS DE TELEGESTÃO NO SISTEMA DE ILUMINAÇÃO PÚBLICA DA CIDADE DO RECIFE-PE. (15.000825/2023-60)</t>
  </si>
  <si>
    <t>6-036/23</t>
  </si>
  <si>
    <t>SERVIÇO DE MANUTENÇÃO PREVENTIVA DO SISTEMA MACRODRENAGEM EM TODAS AS RPAS DA CIDADE DO RECIFE, LOTE II - RPA 02 E RPA 03</t>
  </si>
  <si>
    <t>6-037/22</t>
  </si>
  <si>
    <t>CONCORRÊNCIA Licitação: 009/2023</t>
  </si>
  <si>
    <t>REQUALIFICAÇÃO DE PISO E CRIAÇÃO DE ESPAÇOS DE CONVIVÊNCIA EM CEMITÉRIO PÚBLICOS. LOTE I - CEMITERIO DE SANTO AMARO</t>
  </si>
  <si>
    <t>05.625.079/0001-60</t>
  </si>
  <si>
    <t xml:space="preserve">CONSTRUTORA MARDIFI LTDA - EPP </t>
  </si>
  <si>
    <t>6-037/23</t>
  </si>
  <si>
    <t>REQUALIFICAÇÃO DE PISO E CRIAÇÃO DE ESPAÇOS DE CONVIVÊNCIA EM CEMITÉRIO PÚBLICOS. LOTE II - CEMITERIO PARQUE DAS FLORES</t>
  </si>
  <si>
    <t>6-038/23</t>
  </si>
  <si>
    <t xml:space="preserve">  CONCORRÊNCIA Licitação: 004/2022</t>
  </si>
  <si>
    <t>IMPLANTAÇÃO DE CICLOVIA NA AV. AGAMENON MAGALHÃES NO TRECHO COMPREENDIDO ENTRE A RUA DR. LEOPOLDO LINS, NO BAIRRO DA BOA VISTA ATÉ A AVENIDA SATURTINO DE BRITO, NO BAIRRO DO CABANGA, RECIFE PE</t>
  </si>
  <si>
    <t>11.864.311/0001-15</t>
  </si>
  <si>
    <t>SBC SOCIEDADE BRASILEIRA DE CONSTRUCOES LTDA</t>
  </si>
  <si>
    <t>6-039/22</t>
  </si>
  <si>
    <t>CONCORRÊNCIA Licitação: 008/2023</t>
  </si>
  <si>
    <t>SERVIÇOS DE IMPLANTAÇÃO DA REDE DE DRENAGEM DE ÁGUAS PLUVIAIS E PAVIMENTAÇÃO DE VIAS, EM ÁREAS URBANIZADAS, NA CIDADE DO RECIFE</t>
  </si>
  <si>
    <t>6-039/23</t>
  </si>
  <si>
    <t>CONCORRÊNCIA / Nº 005/2021</t>
  </si>
  <si>
    <t>CONTRATAÇÃO DE EMPRESA DE ENGENHARIA ESPECIALIZADA EM ILUMINAÇÃO PÚBLICA PARA REALIZAÇÃO DE MANUTENÇÃO PREVENTIVA E CORRETIVA DO SISTEMA DE ILUMINAÇÃO PÚBLICA ESPECIAL DO MUNICÍPIO DO RECIFE</t>
  </si>
  <si>
    <t>6-040/21</t>
  </si>
  <si>
    <t>CONCORRÊNCIA Licitação: 004/2023</t>
  </si>
  <si>
    <t>SERVIÇOS DE MANUTENÇÃO DO SISTEMA DA MICRODRENAGEM DE ÁGUAS PLUVIAIS DAS RPA 1 DA CIDADE DO RECIFE. LOTE I</t>
  </si>
  <si>
    <t>6-040/23</t>
  </si>
  <si>
    <t>IMPLANTAÇÃO DA REDE DE DRENAGEM, PAVIMENTAÇÃO, ACESSIBILIDADE E SINALIZAÇÃO DAS RUAS DESEMBARGADOR VIRGÍLIO DE SA PEREIRA E MATHUZALEM WANDERLEY, LOCALIZADAS NO BAIRRO DO CORDEIRO. LOTE 02</t>
  </si>
  <si>
    <t>6-041/21</t>
  </si>
  <si>
    <t>SERVIÇOS DE MANUTENÇÃO DO SISTEMA DA MICRODRENAGEM DE ÁGUAS PLUVIAIS DAS RPAS 2 E 3 DA CIDADE DO RECIFE. LOTE II</t>
  </si>
  <si>
    <t>6-041/23</t>
  </si>
  <si>
    <t>CONTRATAÇÃO DE EMPRESA DE ENGENHARIA PARA REALIZAÇÃO DE MANUTENÇÃO PREVENTIVA E CORRETIVA DO SISTEMA DE ILUMINAÇÃO PÚBLICA CONVENCIONAL DAS RPA`S 1 E 6 DO MUNICÍPIO DO RECIFE EM POSTES COM ATÉ 12 METROS DE ALTURA - LOTE I</t>
  </si>
  <si>
    <t>41.105.990/0001-00</t>
  </si>
  <si>
    <t>ENGERIP CONSTRUCOES E SERVICOS DE ENGENHARIA LTDA</t>
  </si>
  <si>
    <t>6-042/23</t>
  </si>
  <si>
    <t>CONTRATAÇÃO DE EMPRESA DE ENGENHARIA PARA REALIZAÇÃO DE MANUTENÇÃO PREVENTIVA E CORRETIVA DO SISTEMA DE ILUMINAÇÃO PÚBLICA CONVENCIONAL DAS RPA`S 4 E 5 DO MUNICÍPIO DO RECIFE EM POSTES COM ATÉ 12 METROS DE ALTURA - LOTE III</t>
  </si>
  <si>
    <t>6-043/23</t>
  </si>
  <si>
    <t>PREGÃO ELETRÔNICO Licitação : 007/2023</t>
  </si>
  <si>
    <t>FORNECIMENTO E INSTALAÇÃO DE ALAMBRADOS E PISO FULGET, VISANDO ATENDER A DEMANDA DE MANUTENÇÃO DE PARQUES, PRAÇAS E ÁREAS VERDES NA CIDADE DO RECIFE. PROCESSO: 15.000896/2023-62</t>
  </si>
  <si>
    <t>5636/2023</t>
  </si>
  <si>
    <t xml:space="preserve">PBL </t>
  </si>
  <si>
    <t>6-044/23</t>
  </si>
  <si>
    <t>em elaboração (6.052/23)</t>
  </si>
  <si>
    <t>CONCORRÊNCIA Licitação: 005/2023</t>
  </si>
  <si>
    <t>SERVIÇOS DE REQUALIFICAÇÃO, MANUTENÇÃO PREVENTIVA E CORRETIVA DE PRAÇAS, PARQUES E ÁREAS VERDES, CANTEIROS DE AVENIDAS E REFÚGIOS DA CIDADE DO RECIFE LOTE I - RPA 1,2 E 3</t>
  </si>
  <si>
    <t>6-045/23</t>
  </si>
  <si>
    <t>CONCORRÊNCIA Licitação: 006/2022</t>
  </si>
  <si>
    <t>RECUPERAÇÃO DE CONTENÇÃO DE CANAIS, NAS DIVERSAS REGIÃO POLITICO ADMINISTRATIVA RPA'S DA CIDADE DO RECIFE</t>
  </si>
  <si>
    <t>6-046/22</t>
  </si>
  <si>
    <t>SERVIÇOS DE REQUALIFICAÇÃO, MANUTENÇÃO PREVENTIVA E CORRETIVA DE PRAÇAS, PARQUES E ÁREAS VERDES, CANTEIROS DE AVENIDAS E REFÚGIOS DA CIDADE DO RECIFE LOTE II - RPA 4,5 E 6</t>
  </si>
  <si>
    <t>10.698.641/0001-15</t>
  </si>
  <si>
    <t>CONSTRUTORA MASTER EIRELI ME</t>
  </si>
  <si>
    <t>6-046/23</t>
  </si>
  <si>
    <t>CONCORRÊNCIA Licitação: 005/2022</t>
  </si>
  <si>
    <t>CONTRATAÇÃO DE EMPRESA DE ENGENHARIA ESPECIALIZADA EM ILUMINAÇÃO PÚBLICA PARA FORNECIMENTO E INSTALAÇÃO DE SISTEMA DE PROTEÇÃO CONTRA VAZAMENTO DE CORRENTE E ATERRAMENTO NOS POSTES EXCLUSIVOS DE ILUMINAÇÃO PÚBLICA NA CIDADE DO RECIFE/PE</t>
  </si>
  <si>
    <t>6-047/22</t>
  </si>
  <si>
    <t>PREGÃO ELETRÔNICO Licitação : 013/2023</t>
  </si>
  <si>
    <t>EXECUÇÃO DE SERVIÇOS PARA IMPLANTAÇÃO E CONSERVÇÃO DE PAISAGISMO DE PARQUES, PRAÇAS E ÁREAS VERDES DA CIDADE DO RECIFE. 15.002149/2023-69</t>
  </si>
  <si>
    <t>08.963.533/0001-80</t>
  </si>
  <si>
    <t>FAR COMERCIO E SERVIÇOS PAISAGISTICOS LTDA</t>
  </si>
  <si>
    <t>6-047/23</t>
  </si>
  <si>
    <t>em elaboração</t>
  </si>
  <si>
    <t>PREGÃO ELETRÔNICO Licitação: 012/2022</t>
  </si>
  <si>
    <t>CONTRATAÇÃO DE EMPRESA DE ENGENHARIA ESPECIALIZADA EM ILUMINAÇÃO PÚBLICA, PARA EXECUÇÃO DOS SERVIÇOS DE MANUTENÇÃO CONTÍNUA, CORRETIVA E PREVENTIVA, DO SISTEMA DE ILUMINAÇÃO PÚBLICA ESPECIAL DA CIDADE DO RECIFE, EM POSTES ACIMA DE 12 METROS DE ALTURA</t>
  </si>
  <si>
    <t>32.185.141/0001-12</t>
  </si>
  <si>
    <t>CASTRO &amp; ROCHA LTDA</t>
  </si>
  <si>
    <t>6-048/22</t>
  </si>
  <si>
    <t>CONCORRÊNCIA Licitação: 006/2023</t>
  </si>
  <si>
    <t>31.661.468/0001-50</t>
  </si>
  <si>
    <t>CONVERGE SERVICOS DE ENGENHARIA LTDA</t>
  </si>
  <si>
    <t>6-048/23</t>
  </si>
  <si>
    <t>PREGÃO ELETRÔNICO Licitação: 001/2022</t>
  </si>
  <si>
    <t xml:space="preserve"> RECEBIMENTO, TRATAMENTO E DISPOSIÇÃO FINAL DE RESÍDUOS SÓLIDOS URBANOS CLASSE IIA E CLASSE IIB COLETADOS PELA EMLURB NO MUNICÍPIO DE RECIFE, NOS LOTES ABAIXO ESPECIFICADOS E SUAS RESPECTIVAS QUANTIDADES ESTIMATIVAS. LOTE I</t>
  </si>
  <si>
    <t>03.279.285/0027-79</t>
  </si>
  <si>
    <t>ORIZON MEIO AMBIENTE S.A.</t>
  </si>
  <si>
    <t>6-049/22</t>
  </si>
  <si>
    <t>CONCORRÊNCIA Licitação: 002/2023</t>
  </si>
  <si>
    <t>CONTRATAÇÃO DE EMPRESA DE ENGENHARIA, ESPECIALIZADA EM ILUMINAÇÃO PÚBLICA, PARA REALIZARÇÃO DE SERVIÇOS DE MANUTENÇÃO E INSTALAÇÕES PROVISÓRIAS NO SISTEMA DE ILUMINAÇÃO PÚBLICA ESPECIAL DO MUNICÍPIO DO RECIFE EM POSTES COM ATÉ 12 METROS DE ALTURA</t>
  </si>
  <si>
    <t>6-049/23</t>
  </si>
  <si>
    <t>RECEBIMENTO, TRATAMENTO E DISPOSIÇÃO FINAL DE RESÍDUOS SÓLIDOS URBANOS CLASSE IIA E CLASSE IIB COLETADOS PELA EMLURB NO MUNICÍPIO DE RECIFE, NOS LOTES ABAIXO ESPECIFICADOS E SUAS RESPECTIVAS QUANTIDADES ESTIMATIVAS. LOTE II</t>
  </si>
  <si>
    <t>6-050/22</t>
  </si>
  <si>
    <t>TOMADA DE PREÇOS Licitação: 003/2023</t>
  </si>
  <si>
    <t>EXECUÇÃO DE OBRAS DE REQUALIFICAÇÃO DA DRENAGEM E PAVIMENTAÇÃO DAS RUAS HERCÍLIO CUNHA, MONSENHOR JÚLIO MARIA E NAPOLEÃO LEUREANO, LOCALIZADAS NO BAIRRO DA MADALENA</t>
  </si>
  <si>
    <t>6-050/23</t>
  </si>
  <si>
    <t>cadastrado</t>
  </si>
  <si>
    <t>CONCORRÊNCIA Licitação: 010/2023</t>
  </si>
  <si>
    <t>CONTRATAÇÃO DE EMPRESA DE ENGENHARIA PARA APOIO TÉCNICO E SUPERVISÃO DA REQUALIFICAÇÃO DE VIAS NA CIDADE DO RECIFE PE</t>
  </si>
  <si>
    <t>28.256.567/0001-42</t>
  </si>
  <si>
    <t>MODERA ENGENHARIA LTDA</t>
  </si>
  <si>
    <t>6-051/23</t>
  </si>
  <si>
    <t>CONCORRÊNCIA Licitação: 007/2023</t>
  </si>
  <si>
    <t>CONTRATAÇÃO DE EMPRESA DE ENGENHARIA PARA REALIZAÇÃO DE APOIO TÉCNICO AOS SERVIÇOS DE ILUMINAÇÃO PÚBLICA NA CIDADE DO RECIFE</t>
  </si>
  <si>
    <t>00.392.213/0001-06</t>
  </si>
  <si>
    <t>PROCESSO ENGENHARIA LTDA</t>
  </si>
  <si>
    <t>6-052/23</t>
  </si>
  <si>
    <t>PREGÃO ELETRÔNICO Licitação: 026/2021</t>
  </si>
  <si>
    <t>CONTRATAÇÃO DE EMPRESA ESPECIALIZADA EM ENGENHARIA SANITÁRIA PARA A EXECUÇÃO DOS SERVIÇOS DE COLETA E LIMPEZA URBANA NO MUNICÍPIO DO RECIFE</t>
  </si>
  <si>
    <t>6-053/21</t>
  </si>
  <si>
    <t>TOMADA DE PREÇOS Licitação: 002/2023</t>
  </si>
  <si>
    <t>REFORMA COM AMPLIAÇÃO PARA IMPLANTAÇÃO DO SETOR DE FISCALIZAÇÃO - STF 2 E 3, LOCALIZADA NA RUA JOUBERT CARVALHO, CASA AMARELA E A DIVISÃO DE FISCALIZAÇÃO DVF 4 E 5, LOCALIZADO NO PARQUE DO CAIARA, AV. MAURÍCIO DE NASSAU Nº 68, BAIRRO IPUTINGA, RECIFE</t>
  </si>
  <si>
    <t>34.071.337/0001-01</t>
  </si>
  <si>
    <t>FONTE SOUTO CONSTRUÇÕES EIRELI</t>
  </si>
  <si>
    <t>6-053/23</t>
  </si>
  <si>
    <t>CONCORRÊNCIA Licitação: 007/2022</t>
  </si>
  <si>
    <t>CONTRATAÇÃO DE EMPRESA DE ENGENHARIA ESPECIALIZADA EM ILUMINAÇÃO PÚBLICA, PARA FORNECIMENTO E INSTALAÇÃO DE LUMINÁRIAS RGB COM TECNOLOGIA LED E REDE ELÉTRICA, PARA ILUMINAÇÃO CÊNICA DO PARQUE DAS ESCULTURAS DE BRENNAND</t>
  </si>
  <si>
    <t>6-054/22</t>
  </si>
  <si>
    <t>CONCORRÊNCIA Licitação: 011/2021</t>
  </si>
  <si>
    <t>CONTRATAÇÃO DE SERVIÇOS DE APOIO TÉCNICO AO MONITORAMENTO DAS AÇÕES DE MANUTENÇÃO DO SISTEMA VIÁRIO DA CIDADE DO RECIFE</t>
  </si>
  <si>
    <t>41.075.755/0001-32</t>
  </si>
  <si>
    <t>NORCONSULT PROJETOS E CONSULTORIA LTDA</t>
  </si>
  <si>
    <t>6-055/21</t>
  </si>
  <si>
    <t>CONCORRÊNCIA Licitação: 014/2023</t>
  </si>
  <si>
    <t>SERVIÇOS DE RECUPERAÇÃO DE PASSEIOS COM IMPLANTAÇÃO DE ACESSIBILIDADE EM VÁRIAS VIAS LOCAIS DE RECIFE</t>
  </si>
  <si>
    <t>03.608.944/0001-34</t>
  </si>
  <si>
    <t>JEPAC CONSTRUCOES LTDA</t>
  </si>
  <si>
    <t>6-055/23</t>
  </si>
  <si>
    <t>CONCORRÊNCIA Licitação: 014/2022</t>
  </si>
  <si>
    <t>SERVIÇOS DE MANUTENÇÃO DO SISTEMA DA MICRODRENAGEM DE ÁGUAS PLUVIAIS DAS RPA'S 4, 5 E 6 DA CIDADE DO RECIFE. LOTE I</t>
  </si>
  <si>
    <t>6-056/22</t>
  </si>
  <si>
    <t>PREGÃO ELETRÔNICO Licitação: 007/2023</t>
  </si>
  <si>
    <t xml:space="preserve"> FORNECIMENTO E INSTALAÇÃO DE ALAMBRADOS E PISO FULGET, VISANDO ATENDER AS DEMANDAS DE PRAÇAS, PARQUES E ÁREAS VERDES NA CIDADE DO RECIFE - 15.006709/2023-54</t>
  </si>
  <si>
    <t>6-056/23</t>
  </si>
  <si>
    <t>Pregão Eletrônico Licitação: 032/2021</t>
  </si>
  <si>
    <t>CONTRATAÇÃO DE EMPRESA ESPECIALIZADA NA PRESTAÇÃO DE SERVIÇOS CONTÍNUOS DE PAISAGISMO E CONSERVAÇÃO PREVENTIVA E CORRETIVA DE PARQUES, PRAÇAS, JARDINS E ÁREAS VERDES PÚBLICOS NA CIDADE DO RECIFE - LOTE 02</t>
  </si>
  <si>
    <t>6-057/21</t>
  </si>
  <si>
    <t>SERVIÇOS DE MANUTENÇÃO DO SISTEMA DA MICRODRENAGEM DE ÁGUAS PLUVIAIS DAS RPA'S 4, 5 E 6 DA CIDADE DO RECIFE. LOTE II</t>
  </si>
  <si>
    <t>6-057/22</t>
  </si>
  <si>
    <t>CONCORRÊNCIA Licitação: 027/2022</t>
  </si>
  <si>
    <t>FORNECIMENTO E INSTALAÇÃO DE LUMINÁRIAS COM TECNOLOGIA LED E REDE ELÉTRICA PARA ILUMINAÇÃO PEDONAL DO POLÍGONO VIÁRIO DA ZONA NORTE DO MUNICÍPIO DO RECIFE PE</t>
  </si>
  <si>
    <t>6-057/23</t>
  </si>
  <si>
    <t>CONCORRÊNCIA Licitação: 015/2021</t>
  </si>
  <si>
    <t>MONITORAMENTO DAS AÇÕES DE LIMPEZA URBANA E ATIVIDADES DE LOGÍSTICA DO TRANSPORTE DE RESÍDUOS DA CONSTRUÇÃO CIVIL DA CIDADE DO RECIFE, MEDIANTE SUPORTE A IMPLANTAÇÃO E OPERAÇÃO DE UMA CENTRAL DE CONTROLE OPERACIONAL</t>
  </si>
  <si>
    <t>12.285.441/0001-66</t>
  </si>
  <si>
    <t>TPF ENGENHARIA LTDA</t>
  </si>
  <si>
    <t>6-058/21</t>
  </si>
  <si>
    <t>CONCORRÊNCIA Licitação: 013/2022</t>
  </si>
  <si>
    <t>REQUALIFICAÇÃO DE DRENAGEM E PAVIMENTAÇÃO DAS RUAS CASTRO ALVES, ENGENHEIRO LUIZ VAUTHIER, RUA DA CORAGEM, RUA PROFESSOR MIRANDA CURIÓ E RUA DONA JULIETA, LOCALIZADAS NO BAIRRO DA ENCRUZILHADA</t>
  </si>
  <si>
    <t>11.481.173/0001-95</t>
  </si>
  <si>
    <t>ETNA ENGENHARIA E TERRAPLANAGEM NACIONAL LTDA</t>
  </si>
  <si>
    <t>6-058/22</t>
  </si>
  <si>
    <t>CONCORRÊNCIA Licitação: 011/2023</t>
  </si>
  <si>
    <t>EXECUÇÃO DA MANUTENÇÃO PREVENTIVA E CORRETIVA DO SISTEMA DE ILUMINAÇÃO CÊNICA DA CIDADE DO RECIFE</t>
  </si>
  <si>
    <t>6-058/23</t>
  </si>
  <si>
    <t>CONCORRÊNCIA Licitação: 012/2022</t>
  </si>
  <si>
    <t>REQUALIFICAÇÃO DA DRENAGEM E PAVIMENTAÇÃO DA RUA IMPERIAL E DA DRENAGEM DA AV. SUL, TRECHO COMPREENDIDO ENTRE A TRAVESSA DO GASPAR E AV. DANTAS BARRETO, BAIRRO DE SÃO JOSÉ</t>
  </si>
  <si>
    <t>6-059/22</t>
  </si>
  <si>
    <t>CREDENCIAMENTO Licitação: 001/2023</t>
  </si>
  <si>
    <t xml:space="preserve"> RECOLHIMENTO, TRANSPORTE, TRATAMENTO E DISPOSIÇÃO FINAL AMBIENTALMENTE CORRETA DE RESÍDUOS LÍQUIDOS (LIXIVIADO) ORIUNDOS DO ATERRO DESATIVADO DA MURIBECA SOB A RESPONSABILIDADE DA EMLURB. (CREDENCIAMENTO 001/23)</t>
  </si>
  <si>
    <t>6-059/23</t>
  </si>
  <si>
    <t>TOMADA DE PREÇOS Licitação: 007/2021</t>
  </si>
  <si>
    <t>CONTRATAÇÃO DE EMPRESA ESPECIALIZADA NO RAMO DE ENGENHARIA PARA EXECUÇÃO DOS SERVIÇOS DE IMPLANTAÇÃO DE PAVIMENTAÇÃO, DRENAGEM, ACESSIBILIDADE E SINALIZAÇÃO DAS RUAS BENJAMIN FONSECA - LOTE 1.  JOSÉ MOLITERNO - LOTE 2, SITUADAS NA CIDADE DO RECIFE</t>
  </si>
  <si>
    <t>884436/2019</t>
  </si>
  <si>
    <t>6-060/21</t>
  </si>
  <si>
    <t>CONCORRÊNCIA Licitação: 011/2022</t>
  </si>
  <si>
    <t>REQUALIFICAÇÃO DA DRENAGEM E PAVIMENTAÇÃO DA RUA DA CONCÓRDIA, TRECHO COMPREENDIDO ENTRE A RUA MUNIZ E RUA FREI CANECA, BAIRRO DE SÃO JOSÉ</t>
  </si>
  <si>
    <t>6-060/22</t>
  </si>
  <si>
    <t>CONCORRÊNCIA Licitação: 012/2023</t>
  </si>
  <si>
    <t>FORNECIMENTO E INSTALAÇÃO DE LUMINÁRIAS COM TECNOLOGIA LED E REDE ELÉTRICA, PARA ILUMINAÇÃO PEDONAL DO POLÍGONO VIÁRIO DOS POLOS EDUCACIONAIS DO MUNICÍPIO DO RECIFE PE</t>
  </si>
  <si>
    <t>6-060/23</t>
  </si>
  <si>
    <t>6-061/21</t>
  </si>
  <si>
    <t>PREGÃO ELETRÔNICO Licitação: 013/2023</t>
  </si>
  <si>
    <t>CONTRATAÇÃO DE EMPRESA ESPECIALIZADA PARA EXECUÇÃO DE SERVIÇOS DE IMPLANTAÇÃO, MANUTENÇÃO E CONSERVAÇÃO DE PAISAGISMO DE PARQUES, PRAÇAS E ÁREAS VERDES NA CIDADE DO RECIFE  (15.007716/2023-73)</t>
  </si>
  <si>
    <t>6-061/23</t>
  </si>
  <si>
    <t>CONCORRÊNCIA Licitação: 016/2023</t>
  </si>
  <si>
    <t>SERVIÇOS DE IMPLANTAÇÃO DA REDE DE DRENAGEM DE ÁGUAS PLUVIAIS E PAVIMENTAÇÃO DE VIAS, EM ÁREAS URBANAS, NA CIDADE DO RECIFE</t>
  </si>
  <si>
    <t>6-062/23</t>
  </si>
  <si>
    <t>CONCORRÊNCIA Licitação: 016/2021</t>
  </si>
  <si>
    <t>SERVIÇOS DE RECUPERAÇÃO ESTRUTURAL DA PONTE RODOVIÁRIA, DENOMINADA ANTIGA PONTE GIRATÓRIA, QUE LIGA O BAIRRO DE SÃO JOSÉ AO BAIRRO DO RECIFE NA CIDADE DO RECIFE - PE</t>
  </si>
  <si>
    <t>00.507.949/0001-82</t>
  </si>
  <si>
    <t>JATOBETON ENGENHARIA LTDA</t>
  </si>
  <si>
    <t>6-063/21</t>
  </si>
  <si>
    <t>CONCORRÊNCIA / Nº 013/2021</t>
  </si>
  <si>
    <t>CONTRATAÇÃO DE EMPRESA DE PRODUÇÃO DE ARTES E ILUMINAÇÃO CÊNICA PARA EXECUÇÃO DOS SERVIÇOS DE VÍDEO MAPPING E PROJEÇÃO HOLOGRÁFICA EM CORTINA D`ÁGUA NO RIO CAPIBARIBE</t>
  </si>
  <si>
    <t>20.165.281/0001-40</t>
  </si>
  <si>
    <t>TNP PRODUCOES DE EVENTOS LTDA</t>
  </si>
  <si>
    <t>6-064/21</t>
  </si>
  <si>
    <t>CONCORRÊNCIA Licitação: 001/2021</t>
  </si>
  <si>
    <t>CONTRATAÇÃO DE EMPRESA SANITÁRIA ESPECIALIZADA PARA A EXECUÇÃO DOS SERVIÇOS DE COLETA E LIMPEZA URBANA NO MUNICÍPIO DO RECIFE. LOTE 1</t>
  </si>
  <si>
    <t>45.791.369/0001-06</t>
  </si>
  <si>
    <t>Consórcio Recife Ambiental</t>
  </si>
  <si>
    <t>6-064/22</t>
  </si>
  <si>
    <t>CONCORRÊNCIA Licitação: 013/2023</t>
  </si>
  <si>
    <t>CONTRATAÇÃO DE EMPRESA DE ENGENHARIA, ESPECIALIZADA EM ILUMINAÇÃO PÚBLICA, PARA FORNECIMENTO E INSTALAÇÃO DE LUMINÁRIAS COM TECNOLOGIA LED E REDE ELÉTRICA, PARA ILUMINAÇÃO PEDONAL DO POLÍGONO VIÁRIO DA ZONA SUL DO MUNICÍPIO DE RECIFE PE</t>
  </si>
  <si>
    <t>6-064/23</t>
  </si>
  <si>
    <t>CONTRATAÇÃO DE EMPRESA SANITÁRIA ESPECIALIZADA PARA A EXECUÇÃO DOS SERVIÇOS DE COLETA E LIMPEZA URBANA NO MUNICÍPIO DO RECIFE. LOTE 2</t>
  </si>
  <si>
    <t>6-065/22</t>
  </si>
  <si>
    <t>CONCORRÊNCIA Licitação: 017/2023</t>
  </si>
  <si>
    <t>SERVIÇOS DE MANUTENÇÃO PREVENTIVA DO SISTEMA DA MACRODRENAGEM DAS RPA'S 04 E 05 DA CIDADE DO RECIFE</t>
  </si>
  <si>
    <t>6-065/23</t>
  </si>
  <si>
    <t>CONCORRÊNCIA Licitação: 018/2022</t>
  </si>
  <si>
    <t>CONTRATAÇÃO DE EMPRESA DE ENGENHARIA PARA PRESTAÇÃO DOS SERVIÇOS DE MANUTENÇÃO DO ENROCAMENTO DE PEDRAS DA PROTEÇÃO EXISTENTE NA ORLA DE BOA VIAGEM, RECIFE/PE</t>
  </si>
  <si>
    <t>70.086.111/0001-48</t>
  </si>
  <si>
    <t>COASTAL - CONSTRUÇÕES E SOLUÇÕES TÉCNICAS AMBIENTAIS EIRELI</t>
  </si>
  <si>
    <t>6-066/22</t>
  </si>
  <si>
    <t>Pregão Eletrônico Licitação: 007/2023</t>
  </si>
  <si>
    <t>FORNECER E INSTALAR ALAMBRADOS E PISO FULGET VISANDO ATENDER A DEMANDA DE MANUTENÇÃO DE PARQUES, PRAÇAS E ÁREAS VERDES NA CIDADE DO RECIFE.(SEI. 15.000896/2023-62) PREGÃO ELETRÔNICO Nº 007/2023</t>
  </si>
  <si>
    <t>6-068/23</t>
  </si>
  <si>
    <t>CONCORRÊNCIA Licitação: 019/2022</t>
  </si>
  <si>
    <t>SERVIÇOS DE MANUTENÇÃO PREVENTIVA (IMPLANTANÇÃO, REQUALIFICAÇÃO E/OU RECAPEAMENTO DE VIAS) EM CONCRETO BETUMINOSO USINADO À QUENTE - CBUQ DO SISTEMA VIÁRIO DA CIDADE DO RECIFE. LOTE I - RPA 01</t>
  </si>
  <si>
    <t>001/2022</t>
  </si>
  <si>
    <t>SEINFRA-PE</t>
  </si>
  <si>
    <t>6-069/22</t>
  </si>
  <si>
    <t>CONTRATAÇÃO DE EMPRESA DE ENGENHARIA, ESPECIALIZADA EM ILUMINAÇÃO PÚBLICA, PARA FORNECIMENTO E INSTALAÇÃO DE LUMINÁRIAS COM TECNOLOGIA LED E REDE ELÉTRICA, PARA ILUMINAÇÃO PEDONAL DO POLÍGONO VIÁRIO DA ZONA NORTE DO RECIFE</t>
  </si>
  <si>
    <t>6-069/23</t>
  </si>
  <si>
    <t>SERVIÇOS DE MANUTENÇÃO PREVENTIVA (IMPLANTANÇÃO, REQUALIFICAÇÃO E/OU RECAPEAMENTO DE VIAS) EM CONCRETO BETUMINOSO USINADO À QUENTE - CBUQ DO SISTEMA VIÁRIO DA CIDADE DO RECIFE LOTE II - RPA 02 E 03.</t>
  </si>
  <si>
    <t>6-070/22</t>
  </si>
  <si>
    <t>CONCORRÊNCIA Licitação: 018/2023</t>
  </si>
  <si>
    <t xml:space="preserve"> IMPLANTAÇÃO DE REDE DE DRENAGEM DE ÁGUAS PLUVIAIS E PAVIMENTAÇÃO EM CBUQ DAS RUAS PROFESSOR NESTOR BEZERRA, JORNALISTA MURILO MARROQUIM, LOCALIZADAS NO BAIRRO DA VÁRZEA, RECIFE - PE E DA RA ENGENHEIRO JOSÉ BATISTA, LOCALIZADA NO BAIRRO DA CAXANGÁ</t>
  </si>
  <si>
    <t>6-070/23</t>
  </si>
  <si>
    <t>SERVIÇOS DE MANUTENÇÃO PREVENTIVA (IMPLANTANÇÃO, REQUALIFICAÇÃO E/OU RECAPEAMENTO DE VIAS) EM CONCRETO BETUMINOSO USINADO À QUENTE - CBUQ DO SISTEMA VIÁRIO DA CIDADE DO RECIFE. LOTE III - RPA 04 E 05</t>
  </si>
  <si>
    <t>23.742.620/0001-00</t>
  </si>
  <si>
    <t>INSTTALE ENGENHARIA LTDA</t>
  </si>
  <si>
    <t>6-071/22</t>
  </si>
  <si>
    <t>TOMADA DE PREÇOS Licitação: 004/2023</t>
  </si>
  <si>
    <t>CONTRATAÇÃO DE EMPRESA DE ENGENHARIA CIVIL PARA IMPLANTAÇÃODE ECOESTAÇÃO NA RPA 2 - LOCALIZADO NA RUA URIEL DE HOLANDA, S/N LINHA DO TIRO E DE ECOESTAÇÃO NA RPA 3 - LOCALIZADA NA RUA DA FLORES S/N GUABIRABA - RECIFE -PE</t>
  </si>
  <si>
    <t>6-071/23</t>
  </si>
  <si>
    <t>SERVIÇOS DE MANUTENÇÃO PREVENTIVA (IMPLANTANÇÃO, REQUALIFICAÇÃO E/OU RECAPEAMENTO DE VIAS) EM CONCRETO BETUMINOSO USINADO À QUENTE - CBUQ DO SISTEMA VIÁRIO DA CIDADE DO RECIFE. LOTE IV - RPA 06</t>
  </si>
  <si>
    <t>6-072/22</t>
  </si>
  <si>
    <t>CONCORRÊNCIA Licitação: 020/2022</t>
  </si>
  <si>
    <t>SERVIÇOS DE MANUTENÇÃO CORRETIVA DE VIAS NÃO PAVIMENTADAS DO SISTEMA VIÁRIO DA CIDADE DO RECIFE/PE</t>
  </si>
  <si>
    <t>6-073/22</t>
  </si>
  <si>
    <t>TOMADA DE PREÇOS Licitação: 006/2022</t>
  </si>
  <si>
    <t>SERVIÇOS DE MANUTENÇÃO PREVENTIVA E CORRETIVA EM FONTES LUMINOSAS PÚBLICAS LOCALIZADAS NA CIDADE DO RECIFE</t>
  </si>
  <si>
    <t>6-074/22</t>
  </si>
  <si>
    <t>TOMADA DE PREÇOS Licitação: 005/2023</t>
  </si>
  <si>
    <t>EXECUÇÃO DOS SERVIÇOS DE IMPLANTAÇÃO DA REDE DE DRENAGEM DE ÁGUAS PLUVIAIS E PAVIMENTAÇÃO DA RUA 22 DE AGOSTO - IBURA, INCLUINDO CONSTRUÇÃO DE ESCADARIA E IMPLANTAÇÃO DA PRAÇA CRIANÇADA NA RUA</t>
  </si>
  <si>
    <t>6-074/23</t>
  </si>
  <si>
    <t>CONCORRÊNCIA Licitação: 008/2022</t>
  </si>
  <si>
    <t>SERVIÇOS DE RECUPERAÇÃO ESTRUTURAL DA PONTE SANTA ISABEL, QUE LIGA O BAIRRO DA BOA VISTA AO BAIRRO SANTO ANTÔNIO NA CIDADE DO RECIFE/PE (PONTE PRINCESA ISABEL)</t>
  </si>
  <si>
    <t>6-075/22</t>
  </si>
  <si>
    <t>PREGÃO ELETRÔNICO Licitação: 029/2023</t>
  </si>
  <si>
    <t>SERVIÇOS DE OPERAÇÃO, AUTOMAÇÃO E MANUTENÇÃO ELÉTRICA E MECÂNICA DAS ESTAÇÕES DE BOMBEAMENTO E COMPORTAS DA CIDADE DO RECIFE. (15.008172/2023-67)</t>
  </si>
  <si>
    <t>14.733.583/0001-74</t>
  </si>
  <si>
    <t>PROJETAR CONSTRUÇÕES E PROJETOS EIRELI -ME</t>
  </si>
  <si>
    <t>6-075/23</t>
  </si>
  <si>
    <t>CONCORRÊNCIA Licitação: 015/2022</t>
  </si>
  <si>
    <t>CONTRATAÇÃO DE EMPRESA DE ENGENHARIA ESPECIALIZADA EM ILUMINAÇÃO PÚBLICA, PARA FORNECIMENTO E INSTALAÇÃO DE LUMINÁRIA COM TECNOLOGIA LED E REDE ELÉTRICA, PARA ILUMINAÇÃO PEDONAL DO POLÍGONO VIÁRIO DA AGAMENON MAGALHÃES, RECIFE-PE</t>
  </si>
  <si>
    <t>6-076/22</t>
  </si>
  <si>
    <t>CONCORRÊNCIA Licitação: 021/2023</t>
  </si>
  <si>
    <t>CONTRATAÇÃO DE EMP. DE ENGENHARIA PARA EXECUÇÃO DE OBRAS DE REQUALIFICAÇÃO DA DRENAGEM E PAV. DA AVENIDA MARIO MELO, NO TRECHO COMPREENDIDO ENTRE AS RUAS DO HOSPÍCIO E RUA DA AURORA, SANTO AMARO. RECIFE - PE</t>
  </si>
  <si>
    <t>6-076/23</t>
  </si>
  <si>
    <t>TOMADA DE PREÇOS Licitação: 005/2022</t>
  </si>
  <si>
    <t>SERVIÇOS DE MANUTENÇÃO E RECUPERAÇÃO AMBIENTAL DO ATERRO CONTROLADO DA MURIBECA</t>
  </si>
  <si>
    <t>6-077/22</t>
  </si>
  <si>
    <t>CONCORRÊNCIA Licitação: 019/2023</t>
  </si>
  <si>
    <t>CONSERVAÇÃO PREVENTIVA E CORRETIVA DE PARQUES, PRAÇAS, JARDINS E ÁREAS VERDES PÚBLICAS LOCALIZADAS DA CIDADE DO RECIFE. LOTE I</t>
  </si>
  <si>
    <t>6-077/23</t>
  </si>
  <si>
    <t>CONSERVAÇÃO PREVENTIVA E CORRETIVA DE PARQUES, PRAÇAS, JARDINS E ÁREAS VERDES PÚBLICAS LOCALIZADAS DA CIDADE DO RECIFE. LOTE II</t>
  </si>
  <si>
    <t>6-078/23</t>
  </si>
  <si>
    <t>CONCORRÊNCIA Licitação: 023/2023</t>
  </si>
  <si>
    <t>CONSTRUÇÃO DO PARQUE JARDIM DO POÇO, LOCALIZADO NO BAIRRO DO POÇO DA PANELA - RECIFE - PE</t>
  </si>
  <si>
    <t>6-079/23</t>
  </si>
  <si>
    <t>CONCORRÊNCIA Licitação: 020/2023</t>
  </si>
  <si>
    <t>SERVIÇOS DE MANUTENÇÃO PREVENTIVA, IMPLANTAÇÃO, REQUALIFICAÇÃO, RECAPEAMENTO E/OU MICRORREVESTIMENTO DE VIAS EM CONCRETO BETUMINOSO USINADO Á QUENTE - CBUQ, DO SISTEMA VIÁRIO DA CIDADE DO RECIFE. LOTE I - RPA 1</t>
  </si>
  <si>
    <t>03.006.548/0001-37</t>
  </si>
  <si>
    <t>COSAMPA PROJETOS E CONSTRUCOES LTDA</t>
  </si>
  <si>
    <t>6-080/23</t>
  </si>
  <si>
    <t>SERVIÇOS DE MANUTENÇÃO PREVENTIVA, IMPLANTAÇÃO, REQUALIFICAÇÃO, RECAPEAMENTO E/OU MICRORREVESTIMENTO DE VIAS EM CONCRETO BETUMINOSO USINADO Á QUENTE - CBUQ, DO SISTEMA VIÁRIO DA CIDADE DO RECIFE. LOTE II</t>
  </si>
  <si>
    <t>6-081/23</t>
  </si>
  <si>
    <t>SERVIÇOS DE MANUTENÇÃO PREVENTIVA, IMPLANTAÇÃO, REQUALIFICAÇÃO, RECAPEAMENTO E/OU MICRORREVESTIMENTO DE VIAS EM CONCRETO BETUMINOSO USINADO Á QUENTE, CBUQ, DO SISTEMA VIÁRIO DA CIDADE DO RECIFE.  LOTE III  -  RPA 4 E 5</t>
  </si>
  <si>
    <t>08.073.264/0001-87</t>
  </si>
  <si>
    <t>CONSTRUTORA ANDRADE GUEDES LTDA</t>
  </si>
  <si>
    <t>6-082/23</t>
  </si>
  <si>
    <t>SERVIÇOS DE MANUTENÇÃO PREVENTIVA, IMPLANTAÇÃO, REQUALIFICAÇÃO, RECAPEAMENTO E OU MICRORREVESTIMENTO DE VIAS EM CONCRETO BETUMINOSO USINADO Á QUENTE - CBUQ, DO SISTEMA VIÁRIO DA CIDADE DO RECIFE. LOTE IV</t>
  </si>
  <si>
    <t>6-083/23</t>
  </si>
  <si>
    <t>TOMADA DE PREÇOS Licitação: 007/2023</t>
  </si>
  <si>
    <t>IMPLANTAÇÃO DA DRENAGEM PLUVIAL NA AV. MASCARENHAS DE MORAES, TRECHO COMPREENDIDO ENTRE O CRUZAMENTO COM A AV. CENTENÁRIO ALBERTO SANTOS DUMONT, ATÉ A PRAÇA MINISTRO SALGADO FILHO NO BAIRRO DO IBURA - RECIFE PE</t>
  </si>
  <si>
    <t>6-084/23</t>
  </si>
  <si>
    <t>TOMADA DE PREÇOS Licitação: 006/2023</t>
  </si>
  <si>
    <t>SOLUÇÃO E ELABORAÇÃO DE PROJETOS DE MITIGAÇÃO DE PONTO CRÍTICO DE ALAGAMENTO EM VÁRIAS ÁREAS E VIAS URBANAS DA CIDADE DO RECIFE</t>
  </si>
  <si>
    <t>02.042.399/0001-07</t>
  </si>
  <si>
    <t>ACQUATOOL CONSULTORIA S/S LTDA EPP</t>
  </si>
  <si>
    <t>6-085/23</t>
  </si>
  <si>
    <t>CONCORRÊNCIA Licitação: 024/2023</t>
  </si>
  <si>
    <t>SERVIÇOS DE IMPLANTAÇÃO DA REDE DE DRENAGEM DE ÁGUAS PLUVIAIS E PAVIMENTAÇÃO DE VIAS EM DIVERSAS RPA' S DA CIDADE DO RECIFE</t>
  </si>
  <si>
    <t>6-086/23</t>
  </si>
  <si>
    <t>CONCORRÊNCIA Licitação: 022/2023</t>
  </si>
  <si>
    <t>SERVIÇOS DE MANUTENÇÃO E RECUPREÇÃO DA PAVIMENTAÇÃO EM PARALELEPÍPEDOS DA CIDADE DO RECIFE. LOTE I, RPA 01</t>
  </si>
  <si>
    <t>6-087/23</t>
  </si>
  <si>
    <t>SERVIÇOS DE MANUTENÇÃO E RECUPREÇÃO DA PAVIMENTAÇÃO EM PARALELEPÍPEDOS DA CIDADE DO RECIFE. LOTE II, RPA 02 E 03</t>
  </si>
  <si>
    <t>07.654.042/0001-95</t>
  </si>
  <si>
    <t>ALTA SERVIÇOS DE ENGENHARIA LTDA</t>
  </si>
  <si>
    <t>6-088/23</t>
  </si>
  <si>
    <t>SERVIÇOS DE MANUTENÇÃO E RECUPREÇÃO DA PAVIMENTAÇÃO EM PARALELEPÍPEDOS DA CIDADE DO RECIFE. LOTE III, RPA 04 E 05</t>
  </si>
  <si>
    <t>6-089/23</t>
  </si>
  <si>
    <t>SERVIÇOS DE MANUTENÇÃO E RECUPREÇÃO DA PAVIMENTAÇÃO EM PARALELEPÍPEDOS DA CIDADE DO RECIFE. LOTE IV, RPA 06</t>
  </si>
  <si>
    <t>6-090/23</t>
  </si>
  <si>
    <t>CONCORRÊNCIA Licitação: 025/2023</t>
  </si>
  <si>
    <t>EMPRESA ESPECIALIZADA EM VIDEO INSPEÇÃO E ELABORAÇÃO DE DIAGNÓSTICOS DO SISTEMA DE MICRODRENAGEM DA CIDADE DO RECIFE</t>
  </si>
  <si>
    <t>6-091/23</t>
  </si>
  <si>
    <t>CONCORRÊNCIA Licitação: 026/2023</t>
  </si>
  <si>
    <t>ELABORAÇÃO DE PROJETOS EXECUTIVOS DE INFRAESTRUTURA URBANA, PARA DIVERSAS VIAS URBANAS DA CIDADE DO RECIFE - LOTE I</t>
  </si>
  <si>
    <t>6-001/24</t>
  </si>
  <si>
    <t>ELABORAÇÃO DE PROJETOS EXECUTIVOS DE INFRAESTRUTURA URBANA, PARA DIVERSAS VIAS URBANAS DA CIDADE DO RECIFE - LOTE II</t>
  </si>
  <si>
    <t>11.019.554/0001-57</t>
  </si>
  <si>
    <t>PDCA ENGENHARIA PLANEJAMENTO DESENVOLVIMENTO CONSULTORIA E ASSESSORIA LTDA EPP</t>
  </si>
  <si>
    <t>6-002/24</t>
  </si>
  <si>
    <t>PREGÃO ELETRÔNICO Licitação: 033/2023</t>
  </si>
  <si>
    <t>SERVIÇOS DE ENGENHARIA DE BAIXA COMPLEXIDADE, PARA FECHAMENTO DE EDIFICAÇÕES E ÁREAS PÚBLICAS, COM RISCOS DE DESMORONAMENTO E INVASÕES, DURANTE O PERÍODO DO “CARNAVAL DE 2024”. LOTE I (15.009778/2023-10)</t>
  </si>
  <si>
    <t>6-003/24</t>
  </si>
  <si>
    <t>SERVIÇOS DE ENGENHARIA DE BAIXA COMPLEXIDADE, PARA FECHAMENTO DE EDIFICAÇÕES E ÁREAS PÚBLICAS, COM RISCOS DE DESMORONAMENTO E INVASÕES, DURANTE O PERÍODO DO “CARNAVAL DE 2024”. LOTE II (15.009778/2023-10)</t>
  </si>
  <si>
    <t>6-004/24</t>
  </si>
  <si>
    <t>SERVIÇOS DE ENGENHARIA DE BAIXA COMPLEXIDADE, PARA FECHAMENTO DE EDIFICAÇÕES E ÁREAS PÚBLICAS, COM RISCOS DE DESMORONAMENTO E INVASÕES, DURANTE O PERÍODO DO “CARNAVAL DE 2024”. LOTE III (15.009778/2023-10)</t>
  </si>
  <si>
    <t>6-005/24</t>
  </si>
  <si>
    <t>PREGÃO ELETRÔNICO Licitação: 040/2023</t>
  </si>
  <si>
    <t>SERVIÇOS DE RECUPERAÇÃO E MANUTENÇÃO DO MURO DO CEMITÉRIO SENHOR BOM JESUS DA REDENÇÃO DE SANTO AMARO DAS SALINAS, NO TRECHO COMPREENDIDO ENTRE A RUA DOS PALMARES E A RUA PEDRO AFONSO, SANTO AMARO, RECIFE/PE. (15.011006/2023-48)</t>
  </si>
  <si>
    <t>41.331.709/0001-57</t>
  </si>
  <si>
    <t>TUDO FORTE CONSTRUÇÕES COMERCIO E SERVIÇOS EIRELI</t>
  </si>
  <si>
    <t>6-006/24</t>
  </si>
  <si>
    <t>INEX  001/2024</t>
  </si>
  <si>
    <t>SERVIÇO DE CONSULTIVA ESPECIALIZADA EM CÁLCULO ESTRUTURAL DE OBRA DE ARTE ESPECIAL, PARA INVESTIGAÇÃO DAS NOVAS PATOLOGIAS IDENTIFICADAS NA PONTE 12 DE SETEMBRO (PONTE GIRATÓRIA), LOCALIZADA NO BAIRRO DE SÃO JOSÉ, RECIFE-PE. 15.011475/2023-67</t>
  </si>
  <si>
    <t>35.476.548/0001-97</t>
  </si>
  <si>
    <t>B &amp; C ENGENHERIOS CONSULTORES LTDA</t>
  </si>
  <si>
    <t>6-009/24</t>
  </si>
  <si>
    <t>TOMADA DE PREÇOS Licitação: 012/2023</t>
  </si>
  <si>
    <t>CONTRATAÇÃO DE EMPRESA ESPECIALIZADA DE ENG. CONSULTIVA DE ESTUDOS DE PAV. PARA REALIZAÇÃO DE ENSAIOS IN SITU E DE LABORATÓRIOS, DAS CAMADAS DO PAVIMENTO COM REVESTIMENTO FLEXÍVEL DE DIVERSAS VIAS DA CIDADE DO RECIFE - PE</t>
  </si>
  <si>
    <t>32.636.403/0001-18</t>
  </si>
  <si>
    <t>STONE CONSULTORIA &amp; PROJETOS LTDA</t>
  </si>
  <si>
    <t>6-010/24</t>
  </si>
  <si>
    <t>CONCORRÊNCIA Licitação: 029/2023</t>
  </si>
  <si>
    <t>REQUALIFICAÇÃO DA DRENAGEM PLUVIAL, PAVIMENTAÇÃO E ACESSIBILIDADE NA RUA GONÇALVES MAIA, TRECHO AV. MANOEL BORBA E AV. LINS PETIT NO BAIRRO DA BOA VISTA - RECIFE/PE</t>
  </si>
  <si>
    <t>6-011/24</t>
  </si>
  <si>
    <t>TOMADA DE PREÇOS Licitação: 016/2023</t>
  </si>
  <si>
    <t>CONTRATAÇÃO DE EMPRESA ESPECIALIZADA DE ENGENHARIA PARA IMPLANTAÇÃO DE PRAÇA DA 1º INFÂNCIA, FERRAMENTAS DE CULTURA E LAZER, NO PARQUE TREZE DE MAIO, BAIRRO DE SANTO AMARO, NA CIDADE DO RECIFE - PE</t>
  </si>
  <si>
    <t>6-012/24</t>
  </si>
  <si>
    <t>TOMADA DE PREÇOS Licitação: 017/2023</t>
  </si>
  <si>
    <t>CONTRATAÇÃO DE CONSULTÓRIA PARA DESENVOLVIMENTO DE MISTURAS DE REAPROVEITAMENTO DE MATERIAL FRESADO, EM CAMADAS DE BASE E SUB-BASE E REVESTIMENTO DE PAVIMENTOS ASFALTICOS NA CIDADE DO RECIFE - PE</t>
  </si>
  <si>
    <t>6-013/24</t>
  </si>
  <si>
    <t>CONCORRÊNCIA Licitação: 037/2023</t>
  </si>
  <si>
    <t>SERVIÇOS DE MANUTENÇÃO E/OU INSTALAÇÕES DE EQUIPAMENTOS/BRINQUEDOS EM MADEIRAS E/OU AÇO, INSTALADOS EM PARQUES, PRAÇAS E ÁREAS VERDES DA CIDADE DO RECIFE</t>
  </si>
  <si>
    <t>6-014/24</t>
  </si>
  <si>
    <t>CONCORRÊNCIA Licitação: 028/2023</t>
  </si>
  <si>
    <t>EXECUÇÃO DE OBRAS DE IMPLANTAÇÃO DE DRENAGEM PLUVIAL E PAVIMENTAÇÃO DE RUAS, LOTE I : REVESTIMENTO EM CBUQ, NA CIDADE DO RECIFE - PE</t>
  </si>
  <si>
    <t>6-015/24</t>
  </si>
  <si>
    <t>EXECUÇÃO DE OBRAS DE IMPLANTAÇÃO DE DRENAGEM PLUVIAL E PAVIMENTAÇÃO DE RUAS, LOTE II : REVESTIMENTO EM PARALELEPÍPEDO E INTERTRAVADO, NA CIDADE DO RECIFE - PE</t>
  </si>
  <si>
    <t>6-016/24</t>
  </si>
  <si>
    <t>FORNECER E INSTALAR ALAMBRADOS E PISO FULGET VISANDO ATENDER A DEMANDA DE MANUTENÇÃO DE PARQUES, PRAÇAS E ÁREAS VERDES NA CIDADE DO RECIFE (SEI. 15.000886/2024-16)</t>
  </si>
  <si>
    <t>6-017/24</t>
  </si>
  <si>
    <t>PREGÃO ELETRÔNICO Licitação: 039/2023</t>
  </si>
  <si>
    <t>EXECUÇÃO DOS SERVIÇOS DE IMPLANTAÇÃO DE CABEAMENTO ESTRUTURADO E DA REDE ELÉTRICA ESTABILIZADA EM 110V DO 1° PAVIMENTO E 2° PAVIMENTO DO BOLOCO A DA SEDE DA EMLURB. (15.0107771/2023-18)</t>
  </si>
  <si>
    <t>6-018/24</t>
  </si>
  <si>
    <t>PREGÃO ELETRÔNICO Licitação: 044/2023</t>
  </si>
  <si>
    <t>CONTRATAÇÃO DE EMPRESA ESPECIALIZADA PARA REALIZAÇÃO DE ENSAIOS INVESTIGATIVOS DE PATOLOGIAS E EMISSÃO DE LAUDO TÉCNICO PARA A PONTE JOSÉ DE BARROS LIMA, LOCALIZADA NO BAIRRO DE JOANA BEZERRA, RECIFE - PE  (15.011468/2023-65)</t>
  </si>
  <si>
    <t>41.012.964/0001-37</t>
  </si>
  <si>
    <t>TECOMAT ENGENHARIA LTDA</t>
  </si>
  <si>
    <t>6-019/24</t>
  </si>
  <si>
    <t>TOMADA DE PREÇOS Licitação: 010/2023</t>
  </si>
  <si>
    <t>REQUALIFICAÇÃO DE INFRESTRUTURA DE DRENAGEM PLUVIAL, PAVIMENTAÇÃO, IMPLANTAÇÃO DE SISTEMA DE ABASTECUMENTO DE ÁGUA, ESGOTAMENTO ANITÁRIO E ILUMINAÇÃO PÚBLICA DA RUA BERNARDO GUIMARÃES, BAIRRO DE SANTO AMARO, RECIFE - PE</t>
  </si>
  <si>
    <t>6-020/24</t>
  </si>
  <si>
    <t>CONCORRÊNCIA Licitação: 042/2023</t>
  </si>
  <si>
    <t>PRESTAÇÃO DE SERVIÇOS COMPLEMENTARES DE LIMPEZA URBANA EM ÁREAS DE MORROS, TALUDES, ALGUMAS ÁREAS PLANAS E SERVIÇOS DE MANUTENÇÃO CONTÍNUA, PREVENTIVA E CORRETIVA DE ARBORIZAÇÃO URBANA EM MORROS DA CIDADE DO RECIFE, INCLUINDO A LOCAÇÃO E EQUIPAMENTOS</t>
  </si>
  <si>
    <t>6-021/24</t>
  </si>
  <si>
    <t>CONCORRÊNCIA Licitação: 030/2023</t>
  </si>
  <si>
    <t>CONTRATAÇÃO DE EMPRESA ESPECIALIZADA DE ENGENHARIA PARA EXECUÇÃO DOS SERVIÇOS DE MANUTENÇÃO DE CONTENÇÃO DE CANAIS, NAS DIVERSAS REGIÕES POLÍTICO ADMINISTRAÇÃO - RPA´S DA CIDADE DO RECIFE</t>
  </si>
  <si>
    <t>6-022/24</t>
  </si>
  <si>
    <t>CONCORRÊNCIA Licitação: 031/2023</t>
  </si>
  <si>
    <t>EXECUÇÃO DOS SERVIÇOS DE IMPLANTAÇÃO DE DRENAGEM DE ÁGUAS PLUVIAIS E PAVIMENTAÇÃO EM PARALELEPÍPEDOS E INTERTRAVADOS EM CIMENTO, EM VIAS DE ÁREAS URBANIZADAS NA CIDADE DO RECIFE - PE</t>
  </si>
  <si>
    <t>6-023/24</t>
  </si>
  <si>
    <t>TOMADA DE PREÇOS Licitação: 011/2023</t>
  </si>
  <si>
    <t>EXECUÇÃO DOS SERVIÇOS DE IMPLANTAÇÃO DE REDE DE DRENAGEM DE ÁGUAS PLUVIAIS E PAVIMENTAÇÃO EM PARALELEPÍPEDOS OU INTERTRAVADOS DE CIMENTO EM VIAS, EM ÁREAS URBANIZADAS DA CIDADE DO RECIFE</t>
  </si>
  <si>
    <t>6-025/24</t>
  </si>
  <si>
    <t>CONCORRÊNCIA Licitação: 034/2023</t>
  </si>
  <si>
    <t>EXECUÇÃO DE OBRAS PARA REQUALIFICAÇÃO DO SISTEMA DE DRENAGEM PLUVIAL E PAVIMENTAÇÃO DAS RUAS SÃO LUIZ, ARTUR LÍCIO, DOZE DE JULHO E EURICO VITRÚVIO COM REVESTIMENTO EM CBUQ, LOCALIZADAS NO BAIRRO DO PINA, RECIFE - PE</t>
  </si>
  <si>
    <t>6-026/24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</si>
</sst>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0.00\ ;&quot; -&quot;#\ ;@\ "/>
  </numFmts>
  <fonts count="4" x14ac:knownFonts="1">
    <font>
      <sz val="11"/>
      <color theme="1"/>
      <name val="Aptos Narrow"/>
      <family val="2"/>
      <scheme val="minor"/>
    </font>
    <font>
      <sz val="11"/>
      <color theme="1"/>
      <name val="Aptos Narrow"/>
      <family val="2"/>
      <scheme val="minor"/>
    </font>
    <font>
      <b/>
      <sz val="8"/>
      <name val="Aptos Narrow"/>
      <family val="2"/>
      <scheme val="minor"/>
    </font>
    <font>
      <sz val="8"/>
      <name val="Aptos Narrow"/>
      <family val="2"/>
      <scheme val="minor"/>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6">
    <xf numFmtId="0" fontId="0" fillId="0" borderId="0" xfId="0"/>
    <xf numFmtId="49" fontId="2" fillId="0" borderId="0" xfId="0" applyNumberFormat="1" applyFont="1" applyAlignment="1">
      <alignment horizontal="left" vertical="center" wrapText="1"/>
    </xf>
    <xf numFmtId="49" fontId="2" fillId="0" borderId="0" xfId="0" applyNumberFormat="1" applyFont="1" applyAlignment="1">
      <alignment vertical="center" wrapText="1"/>
    </xf>
    <xf numFmtId="0" fontId="3" fillId="0" borderId="0" xfId="0" applyFont="1" applyAlignment="1">
      <alignment vertical="center" wrapText="1"/>
    </xf>
    <xf numFmtId="49" fontId="2"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164" fontId="3" fillId="0" borderId="0" xfId="1" applyNumberFormat="1" applyFont="1" applyFill="1" applyAlignment="1">
      <alignment horizontal="center" vertical="center" wrapText="1"/>
    </xf>
    <xf numFmtId="164" fontId="3" fillId="0" borderId="0" xfId="1" applyNumberFormat="1" applyFont="1" applyFill="1" applyAlignment="1">
      <alignment horizontal="left" vertical="center" wrapText="1"/>
    </xf>
    <xf numFmtId="164" fontId="3" fillId="0" borderId="0" xfId="1" applyNumberFormat="1" applyFont="1" applyFill="1" applyBorder="1" applyAlignment="1">
      <alignment vertical="center" wrapText="1"/>
    </xf>
    <xf numFmtId="49" fontId="3" fillId="0" borderId="0" xfId="0" applyNumberFormat="1" applyFont="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pplyProtection="1">
      <alignment horizontal="center" vertical="center" wrapText="1"/>
      <protection locked="0"/>
    </xf>
    <xf numFmtId="4" fontId="3" fillId="0" borderId="0" xfId="0" applyNumberFormat="1" applyFont="1" applyAlignment="1" applyProtection="1">
      <alignment horizontal="center" vertical="center" wrapText="1"/>
      <protection locked="0"/>
    </xf>
    <xf numFmtId="49" fontId="3" fillId="0" borderId="0" xfId="0" applyNumberFormat="1" applyFont="1" applyAlignment="1" applyProtection="1">
      <alignment horizontal="center" vertical="center" wrapText="1"/>
      <protection locked="0"/>
    </xf>
    <xf numFmtId="49" fontId="3" fillId="0" borderId="0" xfId="0" applyNumberFormat="1" applyFont="1" applyAlignment="1" applyProtection="1">
      <alignment vertical="center" wrapText="1"/>
      <protection locked="0"/>
    </xf>
    <xf numFmtId="4" fontId="3"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49" fontId="3" fillId="0" borderId="0" xfId="0" applyNumberFormat="1" applyFont="1" applyAlignment="1">
      <alignment vertical="center" wrapText="1"/>
    </xf>
    <xf numFmtId="164" fontId="3" fillId="0" borderId="0" xfId="1" applyNumberFormat="1" applyFont="1" applyFill="1" applyAlignment="1">
      <alignment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2" fillId="0" borderId="0" xfId="0" applyFont="1" applyAlignment="1">
      <alignment vertical="center" wrapText="1"/>
    </xf>
    <xf numFmtId="164" fontId="2" fillId="0" borderId="0" xfId="1" applyNumberFormat="1" applyFont="1" applyFill="1" applyAlignment="1">
      <alignment vertical="center" wrapText="1"/>
    </xf>
    <xf numFmtId="164" fontId="2" fillId="0" borderId="1" xfId="1"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64" fontId="2" fillId="0" borderId="0" xfId="1" applyNumberFormat="1" applyFont="1" applyFill="1" applyAlignment="1">
      <alignment horizontal="center" vertical="center" wrapText="1"/>
    </xf>
    <xf numFmtId="0" fontId="3" fillId="0" borderId="1" xfId="0" applyFont="1" applyBorder="1" applyAlignment="1">
      <alignment vertical="center" wrapText="1"/>
    </xf>
    <xf numFmtId="164" fontId="3" fillId="0" borderId="1" xfId="1" applyNumberFormat="1" applyFont="1" applyFill="1" applyBorder="1"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14" fontId="3" fillId="0" borderId="0" xfId="0" applyNumberFormat="1" applyFont="1" applyAlignment="1">
      <alignment horizontal="center" vertical="center" wrapText="1"/>
    </xf>
    <xf numFmtId="0" fontId="3" fillId="0" borderId="2" xfId="0" applyFont="1" applyBorder="1" applyAlignment="1">
      <alignment wrapText="1"/>
    </xf>
    <xf numFmtId="0" fontId="3" fillId="0" borderId="2" xfId="0" applyFont="1" applyBorder="1" applyAlignment="1">
      <alignment vertical="center" wrapText="1"/>
    </xf>
    <xf numFmtId="164" fontId="3" fillId="0" borderId="2" xfId="1" applyNumberFormat="1" applyFont="1" applyFill="1" applyBorder="1" applyAlignment="1">
      <alignment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4" fontId="3" fillId="0" borderId="0" xfId="0" applyNumberFormat="1" applyFont="1" applyAlignment="1">
      <alignment vertical="center" wrapText="1"/>
    </xf>
    <xf numFmtId="0" fontId="3" fillId="0" borderId="2" xfId="0" applyFont="1" applyBorder="1" applyAlignment="1">
      <alignment horizontal="left" vertical="center" wrapText="1"/>
    </xf>
    <xf numFmtId="4" fontId="3" fillId="0" borderId="1" xfId="0" applyNumberFormat="1" applyFont="1" applyBorder="1" applyAlignment="1">
      <alignment vertical="center" wrapText="1"/>
    </xf>
    <xf numFmtId="0" fontId="3" fillId="2" borderId="1" xfId="0" applyFont="1" applyFill="1" applyBorder="1" applyAlignment="1">
      <alignment vertical="center" wrapText="1"/>
    </xf>
    <xf numFmtId="0" fontId="3" fillId="0" borderId="0" xfId="0" applyFont="1" applyAlignment="1">
      <alignment horizontal="left" vertical="center" wrapText="1"/>
    </xf>
    <xf numFmtId="164" fontId="3" fillId="0" borderId="0" xfId="1" applyNumberFormat="1" applyFont="1" applyFill="1" applyBorder="1" applyAlignment="1">
      <alignment horizontal="right" vertical="center" wrapText="1"/>
    </xf>
    <xf numFmtId="164" fontId="3" fillId="0" borderId="0" xfId="1" applyNumberFormat="1" applyFont="1" applyFill="1" applyAlignment="1">
      <alignment horizontal="right" vertical="center" wrapText="1"/>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4E15F-416A-4AFF-AAAC-8A2426B73842}">
  <sheetPr>
    <pageSetUpPr fitToPage="1"/>
  </sheetPr>
  <dimension ref="A1:AE159"/>
  <sheetViews>
    <sheetView tabSelected="1" topLeftCell="D1" workbookViewId="0">
      <selection activeCell="J5" sqref="J5:O5"/>
    </sheetView>
  </sheetViews>
  <sheetFormatPr defaultColWidth="9.140625" defaultRowHeight="11.25" x14ac:dyDescent="0.25"/>
  <cols>
    <col min="1" max="1" width="14.42578125" style="3" customWidth="1"/>
    <col min="2" max="2" width="41.5703125" style="3" customWidth="1"/>
    <col min="3" max="3" width="10" style="6" bestFit="1" customWidth="1"/>
    <col min="4" max="4" width="9.28515625" style="18" customWidth="1"/>
    <col min="5" max="5" width="11" style="18" customWidth="1"/>
    <col min="6" max="6" width="12.7109375" style="18" customWidth="1"/>
    <col min="7" max="7" width="12.5703125" style="10" bestFit="1" customWidth="1"/>
    <col min="8" max="8" width="19.5703125" style="43" customWidth="1"/>
    <col min="9" max="9" width="8.42578125" style="10" customWidth="1"/>
    <col min="10" max="10" width="9.42578125" style="33" customWidth="1"/>
    <col min="11" max="11" width="4.7109375" style="10" customWidth="1"/>
    <col min="12" max="12" width="13.5703125" style="18" customWidth="1"/>
    <col min="13" max="13" width="10.5703125" style="33" customWidth="1"/>
    <col min="14" max="14" width="4.85546875" style="10" customWidth="1"/>
    <col min="15" max="15" width="11" style="18" customWidth="1"/>
    <col min="16" max="16" width="11.7109375" style="18" customWidth="1"/>
    <col min="17" max="17" width="10.7109375" style="10" customWidth="1"/>
    <col min="18" max="18" width="11.7109375" style="45" customWidth="1"/>
    <col min="19" max="19" width="11.5703125" style="18" customWidth="1"/>
    <col min="20" max="20" width="11.7109375" style="18" customWidth="1"/>
    <col min="21" max="21" width="12.28515625" style="18" customWidth="1"/>
    <col min="22" max="22" width="8.85546875" style="43" customWidth="1"/>
    <col min="23" max="30" width="9.140625" style="3"/>
    <col min="31" max="31" width="12.140625" style="18" bestFit="1" customWidth="1"/>
    <col min="32" max="16384" width="9.140625" style="3"/>
  </cols>
  <sheetData>
    <row r="1" spans="1:31" x14ac:dyDescent="0.25">
      <c r="A1" s="1" t="s">
        <v>0</v>
      </c>
      <c r="B1" s="1"/>
      <c r="C1" s="1"/>
      <c r="D1" s="1"/>
      <c r="E1" s="1"/>
      <c r="F1" s="1"/>
      <c r="G1" s="1"/>
      <c r="H1" s="1"/>
      <c r="I1" s="1"/>
      <c r="J1" s="1"/>
      <c r="K1" s="1"/>
      <c r="L1" s="1"/>
      <c r="M1" s="1"/>
      <c r="N1" s="1"/>
      <c r="O1" s="1"/>
      <c r="P1" s="1"/>
      <c r="Q1" s="1"/>
      <c r="R1" s="1"/>
      <c r="S1" s="1"/>
      <c r="T1" s="1"/>
      <c r="U1" s="1"/>
      <c r="V1" s="2"/>
      <c r="AE1" s="3"/>
    </row>
    <row r="2" spans="1:31" x14ac:dyDescent="0.25">
      <c r="A2" s="1" t="s">
        <v>1</v>
      </c>
      <c r="B2" s="1"/>
      <c r="C2" s="1"/>
      <c r="D2" s="1"/>
      <c r="E2" s="1"/>
      <c r="F2" s="1"/>
      <c r="G2" s="4"/>
      <c r="H2" s="4"/>
      <c r="I2" s="4"/>
      <c r="J2" s="4"/>
      <c r="K2" s="4"/>
      <c r="L2" s="4"/>
      <c r="M2" s="4"/>
      <c r="N2" s="4"/>
      <c r="O2" s="4"/>
      <c r="P2" s="4"/>
      <c r="Q2" s="4"/>
      <c r="R2" s="4"/>
      <c r="S2" s="4"/>
      <c r="T2" s="4"/>
      <c r="U2" s="4"/>
      <c r="V2" s="2"/>
      <c r="AE2" s="3"/>
    </row>
    <row r="3" spans="1:31" x14ac:dyDescent="0.25">
      <c r="A3" s="1" t="s">
        <v>2</v>
      </c>
      <c r="B3" s="1"/>
      <c r="C3" s="1"/>
      <c r="D3" s="1"/>
      <c r="E3" s="1"/>
      <c r="F3" s="1"/>
      <c r="G3" s="4"/>
      <c r="H3" s="4"/>
      <c r="I3" s="4"/>
      <c r="J3" s="4"/>
      <c r="K3" s="4"/>
      <c r="L3" s="4"/>
      <c r="M3" s="4"/>
      <c r="N3" s="4"/>
      <c r="O3" s="4"/>
      <c r="P3" s="4"/>
      <c r="Q3" s="4"/>
      <c r="R3" s="4"/>
      <c r="S3" s="4"/>
      <c r="T3" s="4"/>
      <c r="U3" s="4"/>
      <c r="V3" s="2"/>
      <c r="AE3" s="3"/>
    </row>
    <row r="4" spans="1:31" x14ac:dyDescent="0.25">
      <c r="A4" s="5" t="s">
        <v>3</v>
      </c>
      <c r="B4" s="5"/>
      <c r="D4" s="7"/>
      <c r="E4" s="8"/>
      <c r="F4" s="9"/>
      <c r="G4" s="9"/>
      <c r="H4" s="9"/>
      <c r="J4" s="11" t="s">
        <v>4</v>
      </c>
      <c r="K4" s="11"/>
      <c r="L4" s="11"/>
      <c r="M4" s="11"/>
      <c r="N4" s="11"/>
      <c r="O4" s="11"/>
      <c r="P4" s="12"/>
      <c r="Q4" s="13"/>
      <c r="R4" s="13"/>
      <c r="S4" s="13"/>
      <c r="T4" s="13"/>
      <c r="U4" s="13"/>
      <c r="V4" s="14"/>
      <c r="AE4" s="3"/>
    </row>
    <row r="5" spans="1:31" x14ac:dyDescent="0.25">
      <c r="A5" s="1" t="s">
        <v>5</v>
      </c>
      <c r="B5" s="1"/>
      <c r="C5" s="1"/>
      <c r="D5" s="7"/>
      <c r="E5" s="7"/>
      <c r="F5" s="9"/>
      <c r="G5" s="9"/>
      <c r="H5" s="9"/>
      <c r="J5" s="15" t="s">
        <v>6</v>
      </c>
      <c r="K5" s="15"/>
      <c r="L5" s="15"/>
      <c r="M5" s="15"/>
      <c r="N5" s="15"/>
      <c r="O5" s="15"/>
      <c r="P5" s="16"/>
      <c r="Q5" s="9"/>
      <c r="R5" s="9"/>
      <c r="S5" s="9"/>
      <c r="T5" s="9"/>
      <c r="U5" s="9"/>
      <c r="V5" s="17"/>
    </row>
    <row r="6" spans="1:31" s="22" customFormat="1" x14ac:dyDescent="0.25">
      <c r="A6" s="19" t="s">
        <v>7</v>
      </c>
      <c r="B6" s="19" t="s">
        <v>8</v>
      </c>
      <c r="C6" s="19" t="s">
        <v>9</v>
      </c>
      <c r="D6" s="19"/>
      <c r="E6" s="19"/>
      <c r="F6" s="19"/>
      <c r="G6" s="19" t="s">
        <v>10</v>
      </c>
      <c r="H6" s="19"/>
      <c r="I6" s="19" t="s">
        <v>11</v>
      </c>
      <c r="J6" s="19"/>
      <c r="K6" s="19"/>
      <c r="L6" s="19"/>
      <c r="M6" s="19"/>
      <c r="N6" s="19" t="s">
        <v>12</v>
      </c>
      <c r="O6" s="19"/>
      <c r="P6" s="20"/>
      <c r="Q6" s="19" t="s">
        <v>13</v>
      </c>
      <c r="R6" s="19"/>
      <c r="S6" s="19"/>
      <c r="T6" s="19"/>
      <c r="U6" s="19"/>
      <c r="V6" s="21" t="s">
        <v>14</v>
      </c>
      <c r="AE6" s="23"/>
    </row>
    <row r="7" spans="1:31" s="26" customFormat="1" ht="56.25" x14ac:dyDescent="0.25">
      <c r="A7" s="19"/>
      <c r="B7" s="19"/>
      <c r="C7" s="24" t="s">
        <v>15</v>
      </c>
      <c r="D7" s="24" t="s">
        <v>16</v>
      </c>
      <c r="E7" s="24" t="s">
        <v>17</v>
      </c>
      <c r="F7" s="24" t="s">
        <v>18</v>
      </c>
      <c r="G7" s="20" t="s">
        <v>19</v>
      </c>
      <c r="H7" s="20" t="s">
        <v>20</v>
      </c>
      <c r="I7" s="20" t="s">
        <v>15</v>
      </c>
      <c r="J7" s="25" t="s">
        <v>21</v>
      </c>
      <c r="K7" s="20" t="s">
        <v>22</v>
      </c>
      <c r="L7" s="24" t="s">
        <v>23</v>
      </c>
      <c r="M7" s="25" t="s">
        <v>24</v>
      </c>
      <c r="N7" s="20" t="s">
        <v>25</v>
      </c>
      <c r="O7" s="24" t="s">
        <v>26</v>
      </c>
      <c r="P7" s="24" t="s">
        <v>27</v>
      </c>
      <c r="Q7" s="20" t="s">
        <v>28</v>
      </c>
      <c r="R7" s="24" t="s">
        <v>29</v>
      </c>
      <c r="S7" s="24" t="s">
        <v>30</v>
      </c>
      <c r="T7" s="24" t="s">
        <v>31</v>
      </c>
      <c r="U7" s="24" t="s">
        <v>32</v>
      </c>
      <c r="V7" s="21"/>
      <c r="AE7" s="27"/>
    </row>
    <row r="8" spans="1:31" ht="45" x14ac:dyDescent="0.25">
      <c r="A8" s="28" t="s">
        <v>33</v>
      </c>
      <c r="B8" s="28" t="s">
        <v>34</v>
      </c>
      <c r="C8" s="28">
        <v>0</v>
      </c>
      <c r="D8" s="29">
        <v>0</v>
      </c>
      <c r="E8" s="29">
        <v>0</v>
      </c>
      <c r="F8" s="29">
        <v>0</v>
      </c>
      <c r="G8" s="28" t="s">
        <v>35</v>
      </c>
      <c r="H8" s="28" t="s">
        <v>36</v>
      </c>
      <c r="I8" s="30" t="s">
        <v>37</v>
      </c>
      <c r="J8" s="31">
        <v>44928</v>
      </c>
      <c r="K8" s="30">
        <v>1125</v>
      </c>
      <c r="L8" s="29">
        <v>14926062.529999999</v>
      </c>
      <c r="M8" s="31">
        <f>J8+K8+N8</f>
        <v>46053</v>
      </c>
      <c r="N8" s="30">
        <v>0</v>
      </c>
      <c r="O8" s="29">
        <v>25767.3</v>
      </c>
      <c r="P8" s="29">
        <f>489755.22</f>
        <v>489755.22</v>
      </c>
      <c r="Q8" s="30" t="s">
        <v>38</v>
      </c>
      <c r="R8" s="29">
        <f>2459763.38+197773.74</f>
        <v>2657537.12</v>
      </c>
      <c r="S8" s="29">
        <v>552092.18000000005</v>
      </c>
      <c r="T8" s="29">
        <f>S8</f>
        <v>552092.18000000005</v>
      </c>
      <c r="U8" s="29">
        <v>2657537.04</v>
      </c>
      <c r="V8" s="32" t="s">
        <v>39</v>
      </c>
    </row>
    <row r="9" spans="1:31" ht="33.75" x14ac:dyDescent="0.25">
      <c r="A9" s="28" t="s">
        <v>40</v>
      </c>
      <c r="B9" s="28" t="s">
        <v>41</v>
      </c>
      <c r="C9" s="28">
        <v>0</v>
      </c>
      <c r="D9" s="29">
        <v>0</v>
      </c>
      <c r="E9" s="29">
        <v>0</v>
      </c>
      <c r="F9" s="29">
        <v>0</v>
      </c>
      <c r="G9" s="28" t="s">
        <v>42</v>
      </c>
      <c r="H9" s="28" t="s">
        <v>43</v>
      </c>
      <c r="I9" s="30" t="s">
        <v>44</v>
      </c>
      <c r="J9" s="31">
        <v>44204</v>
      </c>
      <c r="K9" s="30">
        <v>1125</v>
      </c>
      <c r="L9" s="29">
        <v>17543900.190000001</v>
      </c>
      <c r="M9" s="31">
        <f t="shared" ref="M9:M72" si="0">J9+K9+N9</f>
        <v>45329</v>
      </c>
      <c r="N9" s="30">
        <v>0</v>
      </c>
      <c r="O9" s="29">
        <v>4739810.3600000003</v>
      </c>
      <c r="P9" s="29">
        <v>2825629.11</v>
      </c>
      <c r="Q9" s="30" t="s">
        <v>38</v>
      </c>
      <c r="R9" s="29">
        <v>14012678.93</v>
      </c>
      <c r="S9" s="29">
        <v>0</v>
      </c>
      <c r="T9" s="29">
        <f t="shared" ref="T9:T72" si="1">S9</f>
        <v>0</v>
      </c>
      <c r="U9" s="29">
        <v>14012678.93</v>
      </c>
      <c r="V9" s="32" t="s">
        <v>45</v>
      </c>
    </row>
    <row r="10" spans="1:31" ht="33.75" x14ac:dyDescent="0.25">
      <c r="A10" s="28" t="s">
        <v>46</v>
      </c>
      <c r="B10" s="28" t="s">
        <v>47</v>
      </c>
      <c r="C10" s="28">
        <v>0</v>
      </c>
      <c r="D10" s="29">
        <v>0</v>
      </c>
      <c r="E10" s="29">
        <v>0</v>
      </c>
      <c r="F10" s="29">
        <v>0</v>
      </c>
      <c r="G10" s="28" t="s">
        <v>48</v>
      </c>
      <c r="H10" s="28" t="s">
        <v>49</v>
      </c>
      <c r="I10" s="30" t="s">
        <v>50</v>
      </c>
      <c r="J10" s="31">
        <v>44589</v>
      </c>
      <c r="K10" s="30">
        <v>760</v>
      </c>
      <c r="L10" s="29">
        <v>1418802</v>
      </c>
      <c r="M10" s="31">
        <f t="shared" si="0"/>
        <v>45349</v>
      </c>
      <c r="N10" s="30">
        <v>0</v>
      </c>
      <c r="O10" s="29">
        <v>353919.51</v>
      </c>
      <c r="P10" s="29">
        <v>159554.79999999999</v>
      </c>
      <c r="Q10" s="30" t="s">
        <v>38</v>
      </c>
      <c r="R10" s="29">
        <v>1566273.81</v>
      </c>
      <c r="S10" s="29">
        <v>0</v>
      </c>
      <c r="T10" s="29">
        <f t="shared" si="1"/>
        <v>0</v>
      </c>
      <c r="U10" s="29">
        <v>1566273.81</v>
      </c>
      <c r="V10" s="32" t="s">
        <v>45</v>
      </c>
    </row>
    <row r="11" spans="1:31" ht="45" x14ac:dyDescent="0.25">
      <c r="A11" s="28" t="s">
        <v>33</v>
      </c>
      <c r="B11" s="28" t="s">
        <v>51</v>
      </c>
      <c r="C11" s="28">
        <v>0</v>
      </c>
      <c r="D11" s="29">
        <v>0</v>
      </c>
      <c r="E11" s="29">
        <v>0</v>
      </c>
      <c r="F11" s="29">
        <v>0</v>
      </c>
      <c r="G11" s="28" t="s">
        <v>35</v>
      </c>
      <c r="H11" s="28" t="s">
        <v>36</v>
      </c>
      <c r="I11" s="30" t="s">
        <v>52</v>
      </c>
      <c r="J11" s="31">
        <v>44952</v>
      </c>
      <c r="K11" s="30">
        <v>1125</v>
      </c>
      <c r="L11" s="29">
        <v>18344816.460000001</v>
      </c>
      <c r="M11" s="31">
        <f t="shared" si="0"/>
        <v>46077</v>
      </c>
      <c r="N11" s="30">
        <v>0</v>
      </c>
      <c r="O11" s="29">
        <v>0</v>
      </c>
      <c r="P11" s="29">
        <f>601981.77</f>
        <v>601981.77</v>
      </c>
      <c r="Q11" s="30" t="s">
        <v>38</v>
      </c>
      <c r="R11" s="29">
        <f>4213178.6+486570.86</f>
        <v>4699749.46</v>
      </c>
      <c r="S11" s="29">
        <v>863617.53</v>
      </c>
      <c r="T11" s="29">
        <f t="shared" si="1"/>
        <v>863617.53</v>
      </c>
      <c r="U11" s="29">
        <v>4671374.3899999997</v>
      </c>
      <c r="V11" s="32" t="s">
        <v>39</v>
      </c>
    </row>
    <row r="12" spans="1:31" ht="45" x14ac:dyDescent="0.25">
      <c r="A12" s="28" t="s">
        <v>53</v>
      </c>
      <c r="B12" s="28" t="s">
        <v>54</v>
      </c>
      <c r="C12" s="28" t="s">
        <v>55</v>
      </c>
      <c r="D12" s="29" t="s">
        <v>56</v>
      </c>
      <c r="E12" s="29">
        <v>50000000</v>
      </c>
      <c r="F12" s="29">
        <v>0</v>
      </c>
      <c r="G12" s="28" t="s">
        <v>48</v>
      </c>
      <c r="H12" s="28" t="s">
        <v>49</v>
      </c>
      <c r="I12" s="30" t="s">
        <v>57</v>
      </c>
      <c r="J12" s="31">
        <v>44589</v>
      </c>
      <c r="K12" s="30">
        <v>760</v>
      </c>
      <c r="L12" s="29">
        <v>3730846.67</v>
      </c>
      <c r="M12" s="31">
        <f t="shared" si="0"/>
        <v>45349</v>
      </c>
      <c r="N12" s="30">
        <v>0</v>
      </c>
      <c r="O12" s="29">
        <v>750887.05</v>
      </c>
      <c r="P12" s="29">
        <v>415735.52</v>
      </c>
      <c r="Q12" s="30" t="s">
        <v>58</v>
      </c>
      <c r="R12" s="29">
        <f>4440168.46+39349.85</f>
        <v>4479518.3099999996</v>
      </c>
      <c r="S12" s="29">
        <v>77633.38</v>
      </c>
      <c r="T12" s="29">
        <f t="shared" si="1"/>
        <v>77633.38</v>
      </c>
      <c r="U12" s="29">
        <v>4479518.3099999996</v>
      </c>
      <c r="V12" s="32" t="s">
        <v>39</v>
      </c>
    </row>
    <row r="13" spans="1:31" ht="45" x14ac:dyDescent="0.25">
      <c r="A13" s="28" t="s">
        <v>33</v>
      </c>
      <c r="B13" s="28" t="s">
        <v>59</v>
      </c>
      <c r="C13" s="28">
        <v>0</v>
      </c>
      <c r="D13" s="29">
        <v>0</v>
      </c>
      <c r="E13" s="29">
        <v>0</v>
      </c>
      <c r="F13" s="29">
        <v>0</v>
      </c>
      <c r="G13" s="28" t="s">
        <v>35</v>
      </c>
      <c r="H13" s="28" t="s">
        <v>36</v>
      </c>
      <c r="I13" s="30" t="s">
        <v>60</v>
      </c>
      <c r="J13" s="31">
        <v>44928</v>
      </c>
      <c r="K13" s="30">
        <v>1125</v>
      </c>
      <c r="L13" s="29">
        <v>23425634.329999998</v>
      </c>
      <c r="M13" s="31">
        <f t="shared" si="0"/>
        <v>46053</v>
      </c>
      <c r="N13" s="30">
        <v>0</v>
      </c>
      <c r="O13" s="29">
        <v>0</v>
      </c>
      <c r="P13" s="29">
        <f>768686.92</f>
        <v>768686.92</v>
      </c>
      <c r="Q13" s="30" t="s">
        <v>38</v>
      </c>
      <c r="R13" s="29">
        <f>5593900.1+594702.8</f>
        <v>6188602.8999999994</v>
      </c>
      <c r="S13" s="29">
        <v>939778.7699999999</v>
      </c>
      <c r="T13" s="29">
        <f t="shared" si="1"/>
        <v>939778.7699999999</v>
      </c>
      <c r="U13" s="29">
        <v>6157757.2199999988</v>
      </c>
      <c r="V13" s="32" t="s">
        <v>39</v>
      </c>
    </row>
    <row r="14" spans="1:31" ht="45" x14ac:dyDescent="0.25">
      <c r="A14" s="28" t="s">
        <v>33</v>
      </c>
      <c r="B14" s="28" t="s">
        <v>61</v>
      </c>
      <c r="C14" s="28">
        <v>0</v>
      </c>
      <c r="D14" s="29">
        <v>0</v>
      </c>
      <c r="E14" s="29">
        <v>0</v>
      </c>
      <c r="F14" s="29">
        <v>0</v>
      </c>
      <c r="G14" s="28" t="s">
        <v>62</v>
      </c>
      <c r="H14" s="28" t="s">
        <v>63</v>
      </c>
      <c r="I14" s="30" t="s">
        <v>64</v>
      </c>
      <c r="J14" s="31">
        <v>44952</v>
      </c>
      <c r="K14" s="30">
        <v>1125</v>
      </c>
      <c r="L14" s="29">
        <v>20802547.25</v>
      </c>
      <c r="M14" s="31">
        <f t="shared" si="0"/>
        <v>46077</v>
      </c>
      <c r="N14" s="30">
        <v>0</v>
      </c>
      <c r="O14" s="29">
        <v>0</v>
      </c>
      <c r="P14" s="29">
        <v>0</v>
      </c>
      <c r="Q14" s="30" t="s">
        <v>38</v>
      </c>
      <c r="R14" s="29">
        <f>3047508.71+477799.37</f>
        <v>3525308.08</v>
      </c>
      <c r="S14" s="29">
        <v>746442.33000000007</v>
      </c>
      <c r="T14" s="29">
        <f t="shared" si="1"/>
        <v>746442.33000000007</v>
      </c>
      <c r="U14" s="29">
        <v>3525308.08</v>
      </c>
      <c r="V14" s="32" t="s">
        <v>39</v>
      </c>
    </row>
    <row r="15" spans="1:31" ht="45" x14ac:dyDescent="0.25">
      <c r="A15" s="28" t="s">
        <v>65</v>
      </c>
      <c r="B15" s="28" t="s">
        <v>66</v>
      </c>
      <c r="C15" s="28" t="s">
        <v>67</v>
      </c>
      <c r="D15" s="29" t="s">
        <v>68</v>
      </c>
      <c r="E15" s="29">
        <v>0</v>
      </c>
      <c r="F15" s="29">
        <v>0</v>
      </c>
      <c r="G15" s="28" t="s">
        <v>69</v>
      </c>
      <c r="H15" s="28" t="s">
        <v>70</v>
      </c>
      <c r="I15" s="30" t="s">
        <v>71</v>
      </c>
      <c r="J15" s="31">
        <v>44967</v>
      </c>
      <c r="K15" s="30">
        <v>300</v>
      </c>
      <c r="L15" s="29">
        <v>5670580.4299999997</v>
      </c>
      <c r="M15" s="31">
        <f t="shared" si="0"/>
        <v>45447</v>
      </c>
      <c r="N15" s="30">
        <f>120+60</f>
        <v>180</v>
      </c>
      <c r="O15" s="29">
        <f>203807.51</f>
        <v>203807.51</v>
      </c>
      <c r="P15" s="29">
        <v>0</v>
      </c>
      <c r="Q15" s="30" t="s">
        <v>58</v>
      </c>
      <c r="R15" s="29">
        <f>3300822.71+149607.23</f>
        <v>3450429.94</v>
      </c>
      <c r="S15" s="29">
        <v>149607.23000000001</v>
      </c>
      <c r="T15" s="29">
        <f t="shared" si="1"/>
        <v>149607.23000000001</v>
      </c>
      <c r="U15" s="29">
        <v>3450429.94</v>
      </c>
      <c r="V15" s="32" t="s">
        <v>39</v>
      </c>
    </row>
    <row r="16" spans="1:31" ht="33.75" x14ac:dyDescent="0.25">
      <c r="A16" s="28" t="s">
        <v>72</v>
      </c>
      <c r="B16" s="28" t="s">
        <v>73</v>
      </c>
      <c r="C16" s="28" t="s">
        <v>67</v>
      </c>
      <c r="D16" s="29" t="s">
        <v>68</v>
      </c>
      <c r="E16" s="29">
        <v>0</v>
      </c>
      <c r="F16" s="29">
        <v>0</v>
      </c>
      <c r="G16" s="28" t="s">
        <v>74</v>
      </c>
      <c r="H16" s="28" t="s">
        <v>75</v>
      </c>
      <c r="I16" s="30" t="s">
        <v>76</v>
      </c>
      <c r="J16" s="31">
        <v>44966</v>
      </c>
      <c r="K16" s="30">
        <v>210</v>
      </c>
      <c r="L16" s="29">
        <v>7809500.1100000003</v>
      </c>
      <c r="M16" s="31">
        <f t="shared" si="0"/>
        <v>45411</v>
      </c>
      <c r="N16" s="30">
        <f>145+90</f>
        <v>235</v>
      </c>
      <c r="O16" s="29">
        <v>1946467.95</v>
      </c>
      <c r="P16" s="29">
        <v>-26800.04</v>
      </c>
      <c r="Q16" s="30" t="s">
        <v>58</v>
      </c>
      <c r="R16" s="29">
        <f>7871206.39+734801.16</f>
        <v>8606007.5499999989</v>
      </c>
      <c r="S16" s="29">
        <v>520330.93</v>
      </c>
      <c r="T16" s="29">
        <f t="shared" si="1"/>
        <v>520330.93</v>
      </c>
      <c r="U16" s="29">
        <v>8391537.3200000003</v>
      </c>
      <c r="V16" s="32" t="s">
        <v>39</v>
      </c>
    </row>
    <row r="17" spans="1:22" ht="56.25" x14ac:dyDescent="0.25">
      <c r="A17" s="28" t="s">
        <v>77</v>
      </c>
      <c r="B17" s="28" t="s">
        <v>78</v>
      </c>
      <c r="C17" s="28">
        <v>0</v>
      </c>
      <c r="D17" s="29">
        <v>0</v>
      </c>
      <c r="E17" s="29">
        <v>0</v>
      </c>
      <c r="F17" s="29">
        <v>0</v>
      </c>
      <c r="G17" s="28" t="s">
        <v>79</v>
      </c>
      <c r="H17" s="28" t="s">
        <v>80</v>
      </c>
      <c r="I17" s="30" t="s">
        <v>81</v>
      </c>
      <c r="J17" s="31">
        <v>44635</v>
      </c>
      <c r="K17" s="30">
        <v>1890</v>
      </c>
      <c r="L17" s="29">
        <v>28992600</v>
      </c>
      <c r="M17" s="31">
        <f t="shared" si="0"/>
        <v>46525</v>
      </c>
      <c r="N17" s="30">
        <v>0</v>
      </c>
      <c r="O17" s="29">
        <v>0</v>
      </c>
      <c r="P17" s="29">
        <f>1419600+1076400</f>
        <v>2496000</v>
      </c>
      <c r="Q17" s="30" t="s">
        <v>38</v>
      </c>
      <c r="R17" s="29">
        <f>13857991.16+1848245.3</f>
        <v>15706236.460000001</v>
      </c>
      <c r="S17" s="29">
        <v>2621540.98</v>
      </c>
      <c r="T17" s="29">
        <f t="shared" si="1"/>
        <v>2621540.98</v>
      </c>
      <c r="U17" s="29">
        <v>15706236.460000001</v>
      </c>
      <c r="V17" s="32" t="s">
        <v>39</v>
      </c>
    </row>
    <row r="18" spans="1:22" ht="67.5" x14ac:dyDescent="0.25">
      <c r="A18" s="28" t="s">
        <v>82</v>
      </c>
      <c r="B18" s="28" t="s">
        <v>83</v>
      </c>
      <c r="C18" s="28">
        <v>0</v>
      </c>
      <c r="D18" s="29">
        <v>0</v>
      </c>
      <c r="E18" s="29">
        <v>0</v>
      </c>
      <c r="F18" s="29">
        <v>0</v>
      </c>
      <c r="G18" s="28" t="s">
        <v>84</v>
      </c>
      <c r="H18" s="28" t="s">
        <v>85</v>
      </c>
      <c r="I18" s="30" t="s">
        <v>86</v>
      </c>
      <c r="J18" s="31">
        <v>44967</v>
      </c>
      <c r="K18" s="30">
        <v>395</v>
      </c>
      <c r="L18" s="29">
        <v>899176.09</v>
      </c>
      <c r="M18" s="31">
        <f t="shared" si="0"/>
        <v>45362</v>
      </c>
      <c r="N18" s="30">
        <v>0</v>
      </c>
      <c r="O18" s="29">
        <v>0</v>
      </c>
      <c r="P18" s="29">
        <v>0</v>
      </c>
      <c r="Q18" s="30" t="s">
        <v>38</v>
      </c>
      <c r="R18" s="29">
        <f>368756.77+119740.08</f>
        <v>488496.85000000003</v>
      </c>
      <c r="S18" s="29">
        <v>167495.88999999998</v>
      </c>
      <c r="T18" s="29">
        <f t="shared" si="1"/>
        <v>167495.88999999998</v>
      </c>
      <c r="U18" s="29">
        <v>488496.85</v>
      </c>
      <c r="V18" s="32" t="s">
        <v>39</v>
      </c>
    </row>
    <row r="19" spans="1:22" ht="45" x14ac:dyDescent="0.25">
      <c r="A19" s="28" t="s">
        <v>87</v>
      </c>
      <c r="B19" s="28" t="s">
        <v>88</v>
      </c>
      <c r="C19" s="28">
        <v>0</v>
      </c>
      <c r="D19" s="29">
        <v>0</v>
      </c>
      <c r="E19" s="29">
        <v>0</v>
      </c>
      <c r="F19" s="29">
        <v>0</v>
      </c>
      <c r="G19" s="28" t="s">
        <v>89</v>
      </c>
      <c r="H19" s="28" t="s">
        <v>90</v>
      </c>
      <c r="I19" s="30" t="s">
        <v>91</v>
      </c>
      <c r="J19" s="31">
        <v>44347</v>
      </c>
      <c r="K19" s="30">
        <v>790</v>
      </c>
      <c r="L19" s="29">
        <v>3652773.14</v>
      </c>
      <c r="M19" s="31">
        <f t="shared" si="0"/>
        <v>45430</v>
      </c>
      <c r="N19" s="30">
        <v>293</v>
      </c>
      <c r="O19" s="29">
        <v>979736.71</v>
      </c>
      <c r="P19" s="29">
        <v>418590.06</v>
      </c>
      <c r="Q19" s="30" t="s">
        <v>38</v>
      </c>
      <c r="R19" s="29">
        <f>3764342.82+69998.15</f>
        <v>3834340.9699999997</v>
      </c>
      <c r="S19" s="29">
        <v>135000.91999999998</v>
      </c>
      <c r="T19" s="29">
        <f t="shared" si="1"/>
        <v>135000.91999999998</v>
      </c>
      <c r="U19" s="29">
        <v>3834340.97</v>
      </c>
      <c r="V19" s="32" t="s">
        <v>39</v>
      </c>
    </row>
    <row r="20" spans="1:22" ht="45" x14ac:dyDescent="0.25">
      <c r="A20" s="28" t="s">
        <v>92</v>
      </c>
      <c r="B20" s="28" t="s">
        <v>93</v>
      </c>
      <c r="C20" s="28">
        <v>0</v>
      </c>
      <c r="D20" s="29">
        <v>0</v>
      </c>
      <c r="E20" s="29">
        <v>0</v>
      </c>
      <c r="F20" s="29">
        <v>0</v>
      </c>
      <c r="G20" s="28" t="s">
        <v>94</v>
      </c>
      <c r="H20" s="28" t="s">
        <v>95</v>
      </c>
      <c r="I20" s="30" t="s">
        <v>96</v>
      </c>
      <c r="J20" s="31">
        <v>44973</v>
      </c>
      <c r="K20" s="30">
        <v>730</v>
      </c>
      <c r="L20" s="29">
        <v>4873574.38</v>
      </c>
      <c r="M20" s="31">
        <f t="shared" si="0"/>
        <v>45703</v>
      </c>
      <c r="N20" s="30">
        <v>0</v>
      </c>
      <c r="O20" s="29">
        <v>0</v>
      </c>
      <c r="P20" s="29">
        <v>0</v>
      </c>
      <c r="Q20" s="30" t="s">
        <v>38</v>
      </c>
      <c r="R20" s="29">
        <f>1344511+455598.34</f>
        <v>1800109.34</v>
      </c>
      <c r="S20" s="29">
        <v>543164.57999999996</v>
      </c>
      <c r="T20" s="29">
        <f t="shared" si="1"/>
        <v>543164.57999999996</v>
      </c>
      <c r="U20" s="29">
        <v>1800109.3399999999</v>
      </c>
      <c r="V20" s="32" t="s">
        <v>39</v>
      </c>
    </row>
    <row r="21" spans="1:22" ht="33.75" x14ac:dyDescent="0.25">
      <c r="A21" s="28" t="s">
        <v>97</v>
      </c>
      <c r="B21" s="28" t="s">
        <v>98</v>
      </c>
      <c r="C21" s="28">
        <v>0</v>
      </c>
      <c r="D21" s="29">
        <v>0</v>
      </c>
      <c r="E21" s="29">
        <v>0</v>
      </c>
      <c r="F21" s="29">
        <v>0</v>
      </c>
      <c r="G21" s="28" t="s">
        <v>99</v>
      </c>
      <c r="H21" s="28" t="s">
        <v>100</v>
      </c>
      <c r="I21" s="30" t="s">
        <v>101</v>
      </c>
      <c r="J21" s="31">
        <v>44007</v>
      </c>
      <c r="K21" s="30">
        <v>365</v>
      </c>
      <c r="L21" s="29">
        <v>251180</v>
      </c>
      <c r="M21" s="31">
        <f t="shared" si="0"/>
        <v>45469</v>
      </c>
      <c r="N21" s="30">
        <v>1097</v>
      </c>
      <c r="O21" s="29">
        <v>777540</v>
      </c>
      <c r="P21" s="29">
        <v>0</v>
      </c>
      <c r="Q21" s="30" t="s">
        <v>38</v>
      </c>
      <c r="R21" s="29">
        <f>662281.1+29470</f>
        <v>691751.1</v>
      </c>
      <c r="S21" s="29">
        <v>41310</v>
      </c>
      <c r="T21" s="29">
        <f t="shared" si="1"/>
        <v>41310</v>
      </c>
      <c r="U21" s="29">
        <v>691751.1</v>
      </c>
      <c r="V21" s="32" t="s">
        <v>39</v>
      </c>
    </row>
    <row r="22" spans="1:22" ht="33.75" x14ac:dyDescent="0.25">
      <c r="A22" s="28" t="s">
        <v>102</v>
      </c>
      <c r="B22" s="28" t="s">
        <v>103</v>
      </c>
      <c r="C22" s="28" t="s">
        <v>67</v>
      </c>
      <c r="D22" s="29" t="s">
        <v>68</v>
      </c>
      <c r="E22" s="29">
        <v>0</v>
      </c>
      <c r="F22" s="29">
        <v>0</v>
      </c>
      <c r="G22" s="28" t="s">
        <v>104</v>
      </c>
      <c r="H22" s="28" t="s">
        <v>105</v>
      </c>
      <c r="I22" s="30" t="s">
        <v>106</v>
      </c>
      <c r="J22" s="31">
        <v>45013</v>
      </c>
      <c r="K22" s="30">
        <v>210</v>
      </c>
      <c r="L22" s="29">
        <v>6629049.9699999997</v>
      </c>
      <c r="M22" s="31">
        <f t="shared" si="0"/>
        <v>45403</v>
      </c>
      <c r="N22" s="30">
        <v>180</v>
      </c>
      <c r="O22" s="29">
        <v>1566148.85</v>
      </c>
      <c r="P22" s="29">
        <v>0</v>
      </c>
      <c r="Q22" s="30" t="s">
        <v>58</v>
      </c>
      <c r="R22" s="29">
        <f>6087694.25+1047419.02</f>
        <v>7135113.2699999996</v>
      </c>
      <c r="S22" s="29">
        <v>1004884.62</v>
      </c>
      <c r="T22" s="29">
        <f t="shared" si="1"/>
        <v>1004884.62</v>
      </c>
      <c r="U22" s="29">
        <v>7092578.8700000001</v>
      </c>
      <c r="V22" s="32" t="s">
        <v>39</v>
      </c>
    </row>
    <row r="23" spans="1:22" ht="33.75" x14ac:dyDescent="0.25">
      <c r="A23" s="28" t="s">
        <v>102</v>
      </c>
      <c r="B23" s="28" t="s">
        <v>107</v>
      </c>
      <c r="C23" s="28" t="s">
        <v>67</v>
      </c>
      <c r="D23" s="29" t="s">
        <v>68</v>
      </c>
      <c r="E23" s="29">
        <v>0</v>
      </c>
      <c r="F23" s="29">
        <v>0</v>
      </c>
      <c r="G23" s="28" t="s">
        <v>69</v>
      </c>
      <c r="H23" s="28" t="s">
        <v>70</v>
      </c>
      <c r="I23" s="30" t="s">
        <v>108</v>
      </c>
      <c r="J23" s="31">
        <v>45013</v>
      </c>
      <c r="K23" s="30">
        <v>210</v>
      </c>
      <c r="L23" s="29">
        <v>8475019.2100000009</v>
      </c>
      <c r="M23" s="31">
        <f t="shared" si="0"/>
        <v>45469</v>
      </c>
      <c r="N23" s="30">
        <f>120+126</f>
        <v>246</v>
      </c>
      <c r="O23" s="29">
        <v>1463582.31</v>
      </c>
      <c r="P23" s="29">
        <v>0</v>
      </c>
      <c r="Q23" s="30" t="s">
        <v>58</v>
      </c>
      <c r="R23" s="29">
        <f>6887768.69+858137.58</f>
        <v>7745906.2700000005</v>
      </c>
      <c r="S23" s="29">
        <v>858137.58000000007</v>
      </c>
      <c r="T23" s="29">
        <f t="shared" si="1"/>
        <v>858137.58000000007</v>
      </c>
      <c r="U23" s="29">
        <v>7745906.2699999996</v>
      </c>
      <c r="V23" s="32" t="s">
        <v>39</v>
      </c>
    </row>
    <row r="24" spans="1:22" ht="56.25" x14ac:dyDescent="0.25">
      <c r="A24" s="28" t="s">
        <v>109</v>
      </c>
      <c r="B24" s="28" t="s">
        <v>110</v>
      </c>
      <c r="C24" s="28">
        <v>0</v>
      </c>
      <c r="D24" s="29">
        <v>0</v>
      </c>
      <c r="E24" s="29">
        <v>0</v>
      </c>
      <c r="F24" s="29">
        <v>0</v>
      </c>
      <c r="G24" s="28" t="s">
        <v>111</v>
      </c>
      <c r="H24" s="28" t="s">
        <v>112</v>
      </c>
      <c r="I24" s="30" t="s">
        <v>113</v>
      </c>
      <c r="J24" s="31">
        <v>44678</v>
      </c>
      <c r="K24" s="30">
        <v>1216</v>
      </c>
      <c r="L24" s="29">
        <v>56414995.560000002</v>
      </c>
      <c r="M24" s="31">
        <f t="shared" si="0"/>
        <v>45894</v>
      </c>
      <c r="N24" s="30">
        <v>0</v>
      </c>
      <c r="O24" s="29">
        <f>7377649.38</f>
        <v>7377649.3799999999</v>
      </c>
      <c r="P24" s="29">
        <v>5651587.0800000001</v>
      </c>
      <c r="Q24" s="30" t="s">
        <v>38</v>
      </c>
      <c r="R24" s="29">
        <f>33475715.73+4009826.14</f>
        <v>37485541.869999997</v>
      </c>
      <c r="S24" s="29">
        <v>3882840.33</v>
      </c>
      <c r="T24" s="29">
        <f t="shared" si="1"/>
        <v>3882840.33</v>
      </c>
      <c r="U24" s="29">
        <v>35481466.079999991</v>
      </c>
      <c r="V24" s="32" t="s">
        <v>39</v>
      </c>
    </row>
    <row r="25" spans="1:22" ht="33.75" x14ac:dyDescent="0.25">
      <c r="A25" s="28" t="s">
        <v>102</v>
      </c>
      <c r="B25" s="28" t="s">
        <v>114</v>
      </c>
      <c r="C25" s="28" t="s">
        <v>67</v>
      </c>
      <c r="D25" s="29" t="s">
        <v>68</v>
      </c>
      <c r="E25" s="29">
        <v>0</v>
      </c>
      <c r="F25" s="29">
        <v>0</v>
      </c>
      <c r="G25" s="28" t="s">
        <v>115</v>
      </c>
      <c r="H25" s="28" t="s">
        <v>116</v>
      </c>
      <c r="I25" s="30" t="s">
        <v>117</v>
      </c>
      <c r="J25" s="31">
        <v>45012</v>
      </c>
      <c r="K25" s="30">
        <v>210</v>
      </c>
      <c r="L25" s="29">
        <v>9520808.8000000007</v>
      </c>
      <c r="M25" s="31">
        <f t="shared" si="0"/>
        <v>45462</v>
      </c>
      <c r="N25" s="30">
        <f>150+90</f>
        <v>240</v>
      </c>
      <c r="O25" s="29">
        <v>1463583.5</v>
      </c>
      <c r="P25" s="29">
        <v>0</v>
      </c>
      <c r="Q25" s="30" t="s">
        <v>58</v>
      </c>
      <c r="R25" s="29">
        <f>6815890.32+812186.98</f>
        <v>7628077.3000000007</v>
      </c>
      <c r="S25" s="29">
        <v>812186.98</v>
      </c>
      <c r="T25" s="29">
        <f t="shared" si="1"/>
        <v>812186.98</v>
      </c>
      <c r="U25" s="29">
        <v>7628077.3000000007</v>
      </c>
      <c r="V25" s="32" t="s">
        <v>39</v>
      </c>
    </row>
    <row r="26" spans="1:22" ht="33.75" x14ac:dyDescent="0.25">
      <c r="A26" s="28" t="s">
        <v>118</v>
      </c>
      <c r="B26" s="28" t="s">
        <v>119</v>
      </c>
      <c r="C26" s="28">
        <v>0</v>
      </c>
      <c r="D26" s="29">
        <v>0</v>
      </c>
      <c r="E26" s="29">
        <v>0</v>
      </c>
      <c r="F26" s="29">
        <v>0</v>
      </c>
      <c r="G26" s="28" t="s">
        <v>120</v>
      </c>
      <c r="H26" s="28" t="s">
        <v>121</v>
      </c>
      <c r="I26" s="30" t="s">
        <v>122</v>
      </c>
      <c r="J26" s="31">
        <v>45012</v>
      </c>
      <c r="K26" s="30">
        <v>790</v>
      </c>
      <c r="L26" s="29">
        <v>7723888.8499999996</v>
      </c>
      <c r="M26" s="31">
        <f t="shared" si="0"/>
        <v>45802</v>
      </c>
      <c r="N26" s="30">
        <v>0</v>
      </c>
      <c r="O26" s="29">
        <f>987751.69+884862.96</f>
        <v>1872614.65</v>
      </c>
      <c r="P26" s="29">
        <v>0</v>
      </c>
      <c r="Q26" s="30" t="s">
        <v>38</v>
      </c>
      <c r="R26" s="29">
        <f>3746677.81+399963.97</f>
        <v>4146641.7800000003</v>
      </c>
      <c r="S26" s="29">
        <v>61547.4</v>
      </c>
      <c r="T26" s="29">
        <f t="shared" si="1"/>
        <v>61547.4</v>
      </c>
      <c r="U26" s="29">
        <v>3746677.81</v>
      </c>
      <c r="V26" s="32" t="s">
        <v>39</v>
      </c>
    </row>
    <row r="27" spans="1:22" ht="56.25" x14ac:dyDescent="0.25">
      <c r="A27" s="28" t="s">
        <v>123</v>
      </c>
      <c r="B27" s="28" t="s">
        <v>124</v>
      </c>
      <c r="C27" s="28">
        <v>0</v>
      </c>
      <c r="D27" s="29">
        <v>0</v>
      </c>
      <c r="E27" s="29">
        <v>0</v>
      </c>
      <c r="F27" s="29">
        <v>0</v>
      </c>
      <c r="G27" s="28" t="s">
        <v>125</v>
      </c>
      <c r="H27" s="28" t="s">
        <v>126</v>
      </c>
      <c r="I27" s="30" t="s">
        <v>127</v>
      </c>
      <c r="J27" s="31">
        <v>44694</v>
      </c>
      <c r="K27" s="30">
        <v>240</v>
      </c>
      <c r="L27" s="29">
        <v>570270.67000000004</v>
      </c>
      <c r="M27" s="31">
        <f t="shared" si="0"/>
        <v>44934</v>
      </c>
      <c r="N27" s="30">
        <v>0</v>
      </c>
      <c r="O27" s="29">
        <v>0</v>
      </c>
      <c r="P27" s="29">
        <v>0</v>
      </c>
      <c r="Q27" s="30" t="s">
        <v>58</v>
      </c>
      <c r="R27" s="29">
        <v>0</v>
      </c>
      <c r="S27" s="29">
        <v>0</v>
      </c>
      <c r="T27" s="29">
        <f t="shared" si="1"/>
        <v>0</v>
      </c>
      <c r="U27" s="29">
        <v>0</v>
      </c>
      <c r="V27" s="32" t="s">
        <v>128</v>
      </c>
    </row>
    <row r="28" spans="1:22" ht="45" x14ac:dyDescent="0.25">
      <c r="A28" s="28" t="s">
        <v>129</v>
      </c>
      <c r="B28" s="28" t="s">
        <v>130</v>
      </c>
      <c r="C28" s="28" t="s">
        <v>67</v>
      </c>
      <c r="D28" s="29" t="s">
        <v>68</v>
      </c>
      <c r="E28" s="29">
        <v>0</v>
      </c>
      <c r="F28" s="29">
        <v>0</v>
      </c>
      <c r="G28" s="28" t="s">
        <v>131</v>
      </c>
      <c r="H28" s="28" t="s">
        <v>132</v>
      </c>
      <c r="I28" s="30" t="s">
        <v>133</v>
      </c>
      <c r="J28" s="31">
        <v>45013</v>
      </c>
      <c r="K28" s="30">
        <v>300</v>
      </c>
      <c r="L28" s="29">
        <v>2208415.6800000002</v>
      </c>
      <c r="M28" s="31">
        <f t="shared" si="0"/>
        <v>45358</v>
      </c>
      <c r="N28" s="30">
        <v>45</v>
      </c>
      <c r="O28" s="29">
        <v>548793.1</v>
      </c>
      <c r="P28" s="29">
        <v>0</v>
      </c>
      <c r="Q28" s="30" t="s">
        <v>58</v>
      </c>
      <c r="R28" s="29">
        <f>2311232.54+216607.57</f>
        <v>2527840.11</v>
      </c>
      <c r="S28" s="29">
        <v>216607.57</v>
      </c>
      <c r="T28" s="29">
        <f t="shared" si="1"/>
        <v>216607.57</v>
      </c>
      <c r="U28" s="29">
        <v>2527840.11</v>
      </c>
      <c r="V28" s="32" t="s">
        <v>39</v>
      </c>
    </row>
    <row r="29" spans="1:22" ht="33.75" x14ac:dyDescent="0.25">
      <c r="A29" s="28" t="s">
        <v>134</v>
      </c>
      <c r="B29" s="28" t="s">
        <v>135</v>
      </c>
      <c r="C29" s="28" t="s">
        <v>67</v>
      </c>
      <c r="D29" s="29" t="s">
        <v>68</v>
      </c>
      <c r="E29" s="29">
        <v>0</v>
      </c>
      <c r="F29" s="29">
        <v>0</v>
      </c>
      <c r="G29" s="28" t="s">
        <v>136</v>
      </c>
      <c r="H29" s="28" t="s">
        <v>137</v>
      </c>
      <c r="I29" s="30" t="s">
        <v>138</v>
      </c>
      <c r="J29" s="31">
        <v>45013</v>
      </c>
      <c r="K29" s="30">
        <v>270</v>
      </c>
      <c r="L29" s="29">
        <v>16500029.24</v>
      </c>
      <c r="M29" s="31">
        <f t="shared" si="0"/>
        <v>45433</v>
      </c>
      <c r="N29" s="30">
        <v>150</v>
      </c>
      <c r="O29" s="29">
        <v>4124033.37</v>
      </c>
      <c r="P29" s="29">
        <v>0</v>
      </c>
      <c r="Q29" s="30" t="s">
        <v>58</v>
      </c>
      <c r="R29" s="29">
        <f>18510916.94+1099642.06</f>
        <v>19610559</v>
      </c>
      <c r="S29" s="29">
        <v>1099642.06</v>
      </c>
      <c r="T29" s="29">
        <f t="shared" si="1"/>
        <v>1099642.06</v>
      </c>
      <c r="U29" s="29">
        <v>19610558.999999996</v>
      </c>
      <c r="V29" s="32" t="s">
        <v>39</v>
      </c>
    </row>
    <row r="30" spans="1:22" ht="56.25" x14ac:dyDescent="0.25">
      <c r="A30" s="28" t="s">
        <v>139</v>
      </c>
      <c r="B30" s="28" t="s">
        <v>140</v>
      </c>
      <c r="C30" s="28">
        <v>0</v>
      </c>
      <c r="D30" s="29">
        <v>0</v>
      </c>
      <c r="E30" s="29">
        <v>0</v>
      </c>
      <c r="F30" s="29">
        <v>0</v>
      </c>
      <c r="G30" s="28" t="s">
        <v>141</v>
      </c>
      <c r="H30" s="28" t="s">
        <v>142</v>
      </c>
      <c r="I30" s="30" t="s">
        <v>143</v>
      </c>
      <c r="J30" s="31">
        <v>43633</v>
      </c>
      <c r="K30" s="30">
        <v>395</v>
      </c>
      <c r="L30" s="29">
        <v>12390281.279999999</v>
      </c>
      <c r="M30" s="31">
        <f t="shared" si="0"/>
        <v>45488</v>
      </c>
      <c r="N30" s="30">
        <v>1460</v>
      </c>
      <c r="O30" s="29">
        <v>58537807.080000006</v>
      </c>
      <c r="P30" s="29">
        <f>3178575.96+1319928.72</f>
        <v>4498504.68</v>
      </c>
      <c r="Q30" s="30" t="s">
        <v>38</v>
      </c>
      <c r="R30" s="29">
        <f>42376737.54+2747389.62</f>
        <v>45124127.159999996</v>
      </c>
      <c r="S30" s="29">
        <v>2333513.66</v>
      </c>
      <c r="T30" s="29">
        <f t="shared" si="1"/>
        <v>2333513.66</v>
      </c>
      <c r="U30" s="29">
        <v>43891014.320000008</v>
      </c>
      <c r="V30" s="32" t="s">
        <v>39</v>
      </c>
    </row>
    <row r="31" spans="1:22" ht="56.25" x14ac:dyDescent="0.25">
      <c r="A31" s="28" t="s">
        <v>144</v>
      </c>
      <c r="B31" s="28" t="s">
        <v>145</v>
      </c>
      <c r="C31" s="28">
        <v>0</v>
      </c>
      <c r="D31" s="29">
        <v>0</v>
      </c>
      <c r="E31" s="29">
        <v>0</v>
      </c>
      <c r="F31" s="29">
        <v>0</v>
      </c>
      <c r="G31" s="28" t="s">
        <v>146</v>
      </c>
      <c r="H31" s="28" t="s">
        <v>147</v>
      </c>
      <c r="I31" s="30" t="s">
        <v>148</v>
      </c>
      <c r="J31" s="31">
        <v>44691</v>
      </c>
      <c r="K31" s="30">
        <v>395</v>
      </c>
      <c r="L31" s="29">
        <v>4795564.07</v>
      </c>
      <c r="M31" s="31">
        <f t="shared" si="0"/>
        <v>45416</v>
      </c>
      <c r="N31" s="30">
        <f>210+120</f>
        <v>330</v>
      </c>
      <c r="O31" s="29">
        <f>251036.99</f>
        <v>251036.99</v>
      </c>
      <c r="P31" s="29">
        <f>406244.03</f>
        <v>406244.03</v>
      </c>
      <c r="Q31" s="30" t="s">
        <v>58</v>
      </c>
      <c r="R31" s="29">
        <f>4279456.77+785109.91</f>
        <v>5064566.68</v>
      </c>
      <c r="S31" s="29">
        <v>604335.99</v>
      </c>
      <c r="T31" s="29">
        <f t="shared" si="1"/>
        <v>604335.99</v>
      </c>
      <c r="U31" s="29">
        <v>4440210.54</v>
      </c>
      <c r="V31" s="32" t="s">
        <v>39</v>
      </c>
    </row>
    <row r="32" spans="1:22" ht="33.75" x14ac:dyDescent="0.25">
      <c r="A32" s="28" t="s">
        <v>149</v>
      </c>
      <c r="B32" s="28" t="s">
        <v>150</v>
      </c>
      <c r="C32" s="28">
        <v>0</v>
      </c>
      <c r="D32" s="29">
        <v>0</v>
      </c>
      <c r="E32" s="29">
        <v>0</v>
      </c>
      <c r="F32" s="29">
        <v>0</v>
      </c>
      <c r="G32" s="28" t="s">
        <v>151</v>
      </c>
      <c r="H32" s="28" t="s">
        <v>152</v>
      </c>
      <c r="I32" s="30" t="s">
        <v>153</v>
      </c>
      <c r="J32" s="31">
        <v>45030</v>
      </c>
      <c r="K32" s="30">
        <v>790</v>
      </c>
      <c r="L32" s="29">
        <v>21066518.57</v>
      </c>
      <c r="M32" s="31">
        <f t="shared" si="0"/>
        <v>45820</v>
      </c>
      <c r="N32" s="30">
        <v>0</v>
      </c>
      <c r="O32" s="29">
        <v>0</v>
      </c>
      <c r="P32" s="29">
        <v>0</v>
      </c>
      <c r="Q32" s="30" t="s">
        <v>38</v>
      </c>
      <c r="R32" s="29">
        <f>4249845.79+968606.6</f>
        <v>5218452.3899999997</v>
      </c>
      <c r="S32" s="29">
        <v>0</v>
      </c>
      <c r="T32" s="29">
        <f t="shared" si="1"/>
        <v>0</v>
      </c>
      <c r="U32" s="29">
        <v>4249845.79</v>
      </c>
      <c r="V32" s="32" t="s">
        <v>39</v>
      </c>
    </row>
    <row r="33" spans="1:22" ht="33.75" x14ac:dyDescent="0.25">
      <c r="A33" s="28" t="s">
        <v>154</v>
      </c>
      <c r="B33" s="28" t="s">
        <v>155</v>
      </c>
      <c r="C33" s="28">
        <v>0</v>
      </c>
      <c r="D33" s="29">
        <v>0</v>
      </c>
      <c r="E33" s="29">
        <v>0</v>
      </c>
      <c r="F33" s="29">
        <v>0</v>
      </c>
      <c r="G33" s="28" t="s">
        <v>156</v>
      </c>
      <c r="H33" s="28" t="s">
        <v>157</v>
      </c>
      <c r="I33" s="30" t="s">
        <v>158</v>
      </c>
      <c r="J33" s="31">
        <v>45036</v>
      </c>
      <c r="K33" s="30">
        <v>790</v>
      </c>
      <c r="L33" s="29">
        <v>9610506.0199999996</v>
      </c>
      <c r="M33" s="31">
        <f t="shared" si="0"/>
        <v>45826</v>
      </c>
      <c r="N33" s="30">
        <v>0</v>
      </c>
      <c r="O33" s="29">
        <f>2361700.92</f>
        <v>2361700.92</v>
      </c>
      <c r="P33" s="29">
        <v>0</v>
      </c>
      <c r="Q33" s="30" t="s">
        <v>38</v>
      </c>
      <c r="R33" s="29">
        <f>6481132.26+597456.41</f>
        <v>7078588.6699999999</v>
      </c>
      <c r="S33" s="29">
        <v>258716.11</v>
      </c>
      <c r="T33" s="29">
        <f t="shared" si="1"/>
        <v>258716.11</v>
      </c>
      <c r="U33" s="29">
        <v>6739848.3700000001</v>
      </c>
      <c r="V33" s="32" t="s">
        <v>39</v>
      </c>
    </row>
    <row r="34" spans="1:22" ht="33.75" x14ac:dyDescent="0.25">
      <c r="A34" s="28" t="s">
        <v>154</v>
      </c>
      <c r="B34" s="28" t="s">
        <v>159</v>
      </c>
      <c r="C34" s="28">
        <v>0</v>
      </c>
      <c r="D34" s="29">
        <v>0</v>
      </c>
      <c r="E34" s="29">
        <v>0</v>
      </c>
      <c r="F34" s="29">
        <v>0</v>
      </c>
      <c r="G34" s="28" t="s">
        <v>42</v>
      </c>
      <c r="H34" s="28" t="s">
        <v>43</v>
      </c>
      <c r="I34" s="30" t="s">
        <v>160</v>
      </c>
      <c r="J34" s="31">
        <v>45036</v>
      </c>
      <c r="K34" s="30">
        <v>790</v>
      </c>
      <c r="L34" s="29">
        <v>15430851.99</v>
      </c>
      <c r="M34" s="31">
        <f t="shared" si="0"/>
        <v>45826</v>
      </c>
      <c r="N34" s="30">
        <v>0</v>
      </c>
      <c r="O34" s="29">
        <f>3112382</f>
        <v>3112382</v>
      </c>
      <c r="P34" s="29">
        <v>0</v>
      </c>
      <c r="Q34" s="30" t="s">
        <v>38</v>
      </c>
      <c r="R34" s="29">
        <f>9064740.56+1479908.47</f>
        <v>10544649.030000001</v>
      </c>
      <c r="S34" s="29">
        <v>481262.16</v>
      </c>
      <c r="T34" s="29">
        <f t="shared" si="1"/>
        <v>481262.16</v>
      </c>
      <c r="U34" s="29">
        <v>9546002.7199999988</v>
      </c>
      <c r="V34" s="32" t="s">
        <v>39</v>
      </c>
    </row>
    <row r="35" spans="1:22" ht="45" x14ac:dyDescent="0.25">
      <c r="A35" s="28" t="s">
        <v>161</v>
      </c>
      <c r="B35" s="28" t="s">
        <v>162</v>
      </c>
      <c r="C35" s="28" t="s">
        <v>163</v>
      </c>
      <c r="D35" s="29" t="s">
        <v>164</v>
      </c>
      <c r="E35" s="29">
        <v>0</v>
      </c>
      <c r="F35" s="29">
        <v>0</v>
      </c>
      <c r="G35" s="28" t="s">
        <v>165</v>
      </c>
      <c r="H35" s="28" t="s">
        <v>166</v>
      </c>
      <c r="I35" s="30" t="s">
        <v>167</v>
      </c>
      <c r="J35" s="31">
        <v>44714</v>
      </c>
      <c r="K35" s="30">
        <v>360</v>
      </c>
      <c r="L35" s="29">
        <v>1688150.08</v>
      </c>
      <c r="M35" s="31">
        <f t="shared" si="0"/>
        <v>45314</v>
      </c>
      <c r="N35" s="30">
        <v>240</v>
      </c>
      <c r="O35" s="29">
        <v>141311.6</v>
      </c>
      <c r="P35" s="29">
        <v>0</v>
      </c>
      <c r="Q35" s="30" t="s">
        <v>58</v>
      </c>
      <c r="R35" s="29">
        <f>928741.62+38498.02</f>
        <v>967239.64</v>
      </c>
      <c r="S35" s="29"/>
      <c r="T35" s="29">
        <f t="shared" si="1"/>
        <v>0</v>
      </c>
      <c r="U35" s="29">
        <v>819260.32000000007</v>
      </c>
      <c r="V35" s="32" t="s">
        <v>39</v>
      </c>
    </row>
    <row r="36" spans="1:22" ht="33.75" x14ac:dyDescent="0.25">
      <c r="A36" s="28" t="s">
        <v>154</v>
      </c>
      <c r="B36" s="28" t="s">
        <v>168</v>
      </c>
      <c r="C36" s="28">
        <v>0</v>
      </c>
      <c r="D36" s="29">
        <v>0</v>
      </c>
      <c r="E36" s="29">
        <v>0</v>
      </c>
      <c r="F36" s="29">
        <v>0</v>
      </c>
      <c r="G36" s="28" t="s">
        <v>120</v>
      </c>
      <c r="H36" s="28" t="s">
        <v>121</v>
      </c>
      <c r="I36" s="30" t="s">
        <v>169</v>
      </c>
      <c r="J36" s="31">
        <v>45069</v>
      </c>
      <c r="K36" s="30">
        <v>790</v>
      </c>
      <c r="L36" s="29">
        <v>12528565.16</v>
      </c>
      <c r="M36" s="31">
        <f t="shared" si="0"/>
        <v>45859</v>
      </c>
      <c r="N36" s="30">
        <v>0</v>
      </c>
      <c r="O36" s="29">
        <f>356205</f>
        <v>356205</v>
      </c>
      <c r="P36" s="29">
        <v>0</v>
      </c>
      <c r="Q36" s="30" t="s">
        <v>38</v>
      </c>
      <c r="R36" s="29">
        <f>5466294.53+909171.44</f>
        <v>6375465.9700000007</v>
      </c>
      <c r="S36" s="29">
        <v>249234.85</v>
      </c>
      <c r="T36" s="29">
        <f t="shared" si="1"/>
        <v>249234.85</v>
      </c>
      <c r="U36" s="29">
        <v>5715529.3799999999</v>
      </c>
      <c r="V36" s="32" t="s">
        <v>39</v>
      </c>
    </row>
    <row r="37" spans="1:22" ht="45" x14ac:dyDescent="0.25">
      <c r="A37" s="28" t="s">
        <v>170</v>
      </c>
      <c r="B37" s="28" t="s">
        <v>171</v>
      </c>
      <c r="C37" s="28" t="s">
        <v>67</v>
      </c>
      <c r="D37" s="29" t="s">
        <v>68</v>
      </c>
      <c r="E37" s="29">
        <v>0</v>
      </c>
      <c r="F37" s="29">
        <v>0</v>
      </c>
      <c r="G37" s="28" t="s">
        <v>172</v>
      </c>
      <c r="H37" s="28" t="s">
        <v>173</v>
      </c>
      <c r="I37" s="30" t="s">
        <v>174</v>
      </c>
      <c r="J37" s="31">
        <v>45048</v>
      </c>
      <c r="K37" s="30">
        <v>210</v>
      </c>
      <c r="L37" s="29">
        <v>476900</v>
      </c>
      <c r="M37" s="31">
        <f t="shared" si="0"/>
        <v>45498</v>
      </c>
      <c r="N37" s="30">
        <f>150+90</f>
        <v>240</v>
      </c>
      <c r="O37" s="29">
        <v>104121.83</v>
      </c>
      <c r="P37" s="29">
        <v>0</v>
      </c>
      <c r="Q37" s="30" t="s">
        <v>58</v>
      </c>
      <c r="R37" s="29">
        <f>461455.18+28801.68</f>
        <v>490256.86</v>
      </c>
      <c r="S37" s="29">
        <v>28801.68</v>
      </c>
      <c r="T37" s="29">
        <f t="shared" si="1"/>
        <v>28801.68</v>
      </c>
      <c r="U37" s="29">
        <v>490256.86</v>
      </c>
      <c r="V37" s="32" t="s">
        <v>39</v>
      </c>
    </row>
    <row r="38" spans="1:22" ht="33.75" x14ac:dyDescent="0.25">
      <c r="A38" s="28" t="s">
        <v>175</v>
      </c>
      <c r="B38" s="28" t="s">
        <v>176</v>
      </c>
      <c r="C38" s="28">
        <v>0</v>
      </c>
      <c r="D38" s="29">
        <v>0</v>
      </c>
      <c r="E38" s="29">
        <v>0</v>
      </c>
      <c r="F38" s="29">
        <v>0</v>
      </c>
      <c r="G38" s="28" t="s">
        <v>177</v>
      </c>
      <c r="H38" s="28" t="s">
        <v>178</v>
      </c>
      <c r="I38" s="30" t="s">
        <v>179</v>
      </c>
      <c r="J38" s="31">
        <v>44718</v>
      </c>
      <c r="K38" s="30">
        <v>790</v>
      </c>
      <c r="L38" s="29">
        <v>1278000</v>
      </c>
      <c r="M38" s="31">
        <f t="shared" si="0"/>
        <v>45508</v>
      </c>
      <c r="N38" s="30">
        <v>0</v>
      </c>
      <c r="O38" s="29">
        <v>281802.27</v>
      </c>
      <c r="P38" s="29">
        <v>75638.98</v>
      </c>
      <c r="Q38" s="30" t="s">
        <v>38</v>
      </c>
      <c r="R38" s="29">
        <f>1332770.55+261629.6</f>
        <v>1594400.1500000001</v>
      </c>
      <c r="S38" s="29">
        <v>274334.37</v>
      </c>
      <c r="T38" s="29">
        <f t="shared" si="1"/>
        <v>274334.37</v>
      </c>
      <c r="U38" s="29">
        <v>1594400.15</v>
      </c>
      <c r="V38" s="32" t="s">
        <v>39</v>
      </c>
    </row>
    <row r="39" spans="1:22" ht="33.75" x14ac:dyDescent="0.25">
      <c r="A39" s="28" t="s">
        <v>180</v>
      </c>
      <c r="B39" s="28" t="s">
        <v>181</v>
      </c>
      <c r="C39" s="28" t="s">
        <v>67</v>
      </c>
      <c r="D39" s="29" t="s">
        <v>68</v>
      </c>
      <c r="E39" s="29">
        <v>0</v>
      </c>
      <c r="F39" s="29">
        <v>0</v>
      </c>
      <c r="G39" s="28" t="s">
        <v>172</v>
      </c>
      <c r="H39" s="28" t="s">
        <v>173</v>
      </c>
      <c r="I39" s="30" t="s">
        <v>182</v>
      </c>
      <c r="J39" s="31">
        <v>45051</v>
      </c>
      <c r="K39" s="30">
        <v>120</v>
      </c>
      <c r="L39" s="29">
        <v>631034.78</v>
      </c>
      <c r="M39" s="31">
        <f t="shared" si="0"/>
        <v>45318</v>
      </c>
      <c r="N39" s="30">
        <v>147</v>
      </c>
      <c r="O39" s="29">
        <v>53232.76</v>
      </c>
      <c r="P39" s="29">
        <v>0</v>
      </c>
      <c r="Q39" s="30" t="s">
        <v>58</v>
      </c>
      <c r="R39" s="29">
        <v>633312.47</v>
      </c>
      <c r="S39" s="29">
        <v>0</v>
      </c>
      <c r="T39" s="29">
        <f t="shared" si="1"/>
        <v>0</v>
      </c>
      <c r="U39" s="29">
        <v>633312.47</v>
      </c>
      <c r="V39" s="32" t="s">
        <v>39</v>
      </c>
    </row>
    <row r="40" spans="1:22" ht="33.75" x14ac:dyDescent="0.25">
      <c r="A40" s="28" t="s">
        <v>161</v>
      </c>
      <c r="B40" s="28" t="s">
        <v>183</v>
      </c>
      <c r="C40" s="28" t="s">
        <v>163</v>
      </c>
      <c r="D40" s="29" t="s">
        <v>164</v>
      </c>
      <c r="E40" s="29">
        <v>0</v>
      </c>
      <c r="F40" s="29">
        <v>0</v>
      </c>
      <c r="G40" s="28" t="s">
        <v>184</v>
      </c>
      <c r="H40" s="28" t="s">
        <v>185</v>
      </c>
      <c r="I40" s="30" t="s">
        <v>186</v>
      </c>
      <c r="J40" s="31">
        <v>44732</v>
      </c>
      <c r="K40" s="30">
        <v>360</v>
      </c>
      <c r="L40" s="29">
        <v>1507466.22</v>
      </c>
      <c r="M40" s="31">
        <f t="shared" si="0"/>
        <v>45392</v>
      </c>
      <c r="N40" s="30">
        <f>270+30</f>
        <v>300</v>
      </c>
      <c r="O40" s="29">
        <f>144164</f>
        <v>144164</v>
      </c>
      <c r="P40" s="29">
        <v>0</v>
      </c>
      <c r="Q40" s="30" t="s">
        <v>58</v>
      </c>
      <c r="R40" s="29">
        <f>1047063.49+143547.12</f>
        <v>1190610.6099999999</v>
      </c>
      <c r="S40" s="29"/>
      <c r="T40" s="29">
        <f t="shared" si="1"/>
        <v>0</v>
      </c>
      <c r="U40" s="29">
        <v>1047063.49</v>
      </c>
      <c r="V40" s="32" t="s">
        <v>39</v>
      </c>
    </row>
    <row r="41" spans="1:22" ht="67.5" x14ac:dyDescent="0.25">
      <c r="A41" s="28" t="s">
        <v>161</v>
      </c>
      <c r="B41" s="28" t="s">
        <v>187</v>
      </c>
      <c r="C41" s="28" t="s">
        <v>163</v>
      </c>
      <c r="D41" s="29" t="s">
        <v>164</v>
      </c>
      <c r="E41" s="29">
        <v>0</v>
      </c>
      <c r="F41" s="29">
        <v>0</v>
      </c>
      <c r="G41" s="28" t="s">
        <v>184</v>
      </c>
      <c r="H41" s="28" t="s">
        <v>185</v>
      </c>
      <c r="I41" s="30" t="s">
        <v>188</v>
      </c>
      <c r="J41" s="31">
        <v>44732</v>
      </c>
      <c r="K41" s="30">
        <v>425</v>
      </c>
      <c r="L41" s="29">
        <v>2244006.2200000002</v>
      </c>
      <c r="M41" s="31">
        <f t="shared" si="0"/>
        <v>45457</v>
      </c>
      <c r="N41" s="30">
        <f>210+90</f>
        <v>300</v>
      </c>
      <c r="O41" s="29">
        <v>13225.03</v>
      </c>
      <c r="P41" s="29">
        <v>0</v>
      </c>
      <c r="Q41" s="30" t="s">
        <v>58</v>
      </c>
      <c r="R41" s="29">
        <f>608122.24+194460.67</f>
        <v>802582.91</v>
      </c>
      <c r="S41" s="29"/>
      <c r="T41" s="29">
        <f t="shared" si="1"/>
        <v>0</v>
      </c>
      <c r="U41" s="29">
        <v>608122.24</v>
      </c>
      <c r="V41" s="32" t="s">
        <v>39</v>
      </c>
    </row>
    <row r="42" spans="1:22" ht="45" x14ac:dyDescent="0.25">
      <c r="A42" s="28" t="s">
        <v>189</v>
      </c>
      <c r="B42" s="28" t="s">
        <v>190</v>
      </c>
      <c r="C42" s="28">
        <v>0</v>
      </c>
      <c r="D42" s="29">
        <v>0</v>
      </c>
      <c r="E42" s="29">
        <v>0</v>
      </c>
      <c r="F42" s="29">
        <v>0</v>
      </c>
      <c r="G42" s="28" t="s">
        <v>89</v>
      </c>
      <c r="H42" s="28" t="s">
        <v>90</v>
      </c>
      <c r="I42" s="30" t="s">
        <v>191</v>
      </c>
      <c r="J42" s="31">
        <v>45065</v>
      </c>
      <c r="K42" s="30">
        <v>790</v>
      </c>
      <c r="L42" s="29">
        <v>6928531.4000000004</v>
      </c>
      <c r="M42" s="31">
        <f t="shared" si="0"/>
        <v>45855</v>
      </c>
      <c r="N42" s="30">
        <v>0</v>
      </c>
      <c r="O42" s="29">
        <v>0</v>
      </c>
      <c r="P42" s="29">
        <v>0</v>
      </c>
      <c r="Q42" s="30" t="s">
        <v>38</v>
      </c>
      <c r="R42" s="29">
        <f>1348775.79+716861.76</f>
        <v>2065637.55</v>
      </c>
      <c r="S42" s="29">
        <v>477907.84</v>
      </c>
      <c r="T42" s="29">
        <f t="shared" si="1"/>
        <v>477907.84</v>
      </c>
      <c r="U42" s="29">
        <v>1826683.6300000001</v>
      </c>
      <c r="V42" s="32" t="s">
        <v>39</v>
      </c>
    </row>
    <row r="43" spans="1:22" ht="56.25" x14ac:dyDescent="0.25">
      <c r="A43" s="28" t="s">
        <v>192</v>
      </c>
      <c r="B43" s="28" t="s">
        <v>193</v>
      </c>
      <c r="C43" s="28" t="s">
        <v>194</v>
      </c>
      <c r="D43" s="29" t="s">
        <v>195</v>
      </c>
      <c r="E43" s="29">
        <v>3820000</v>
      </c>
      <c r="F43" s="29">
        <v>8000</v>
      </c>
      <c r="G43" s="28" t="s">
        <v>136</v>
      </c>
      <c r="H43" s="28" t="s">
        <v>137</v>
      </c>
      <c r="I43" s="30" t="s">
        <v>196</v>
      </c>
      <c r="J43" s="31">
        <v>44456</v>
      </c>
      <c r="K43" s="30">
        <v>210</v>
      </c>
      <c r="L43" s="29">
        <v>2111167.85</v>
      </c>
      <c r="M43" s="31">
        <f t="shared" si="0"/>
        <v>45391</v>
      </c>
      <c r="N43" s="30">
        <f>635+90</f>
        <v>725</v>
      </c>
      <c r="O43" s="29">
        <v>420544.48</v>
      </c>
      <c r="P43" s="29">
        <v>-902.12</v>
      </c>
      <c r="Q43" s="30" t="s">
        <v>58</v>
      </c>
      <c r="R43" s="29">
        <v>1964336.42</v>
      </c>
      <c r="S43" s="29"/>
      <c r="T43" s="29">
        <f t="shared" si="1"/>
        <v>0</v>
      </c>
      <c r="U43" s="29">
        <v>1918235.1</v>
      </c>
      <c r="V43" s="32" t="s">
        <v>39</v>
      </c>
    </row>
    <row r="44" spans="1:22" ht="33.75" x14ac:dyDescent="0.25">
      <c r="A44" s="28" t="s">
        <v>197</v>
      </c>
      <c r="B44" s="28" t="s">
        <v>198</v>
      </c>
      <c r="C44" s="28">
        <v>0</v>
      </c>
      <c r="D44" s="29">
        <v>0</v>
      </c>
      <c r="E44" s="29">
        <v>0</v>
      </c>
      <c r="F44" s="29">
        <v>0</v>
      </c>
      <c r="G44" s="28" t="s">
        <v>199</v>
      </c>
      <c r="H44" s="28" t="s">
        <v>200</v>
      </c>
      <c r="I44" s="30" t="s">
        <v>201</v>
      </c>
      <c r="J44" s="31">
        <v>44719</v>
      </c>
      <c r="K44" s="30">
        <v>1155</v>
      </c>
      <c r="L44" s="29">
        <v>7836613.5899999999</v>
      </c>
      <c r="M44" s="31">
        <f t="shared" si="0"/>
        <v>45874</v>
      </c>
      <c r="N44" s="30">
        <v>0</v>
      </c>
      <c r="O44" s="29">
        <v>1826425.61</v>
      </c>
      <c r="P44" s="29">
        <v>618502.46</v>
      </c>
      <c r="Q44" s="30" t="s">
        <v>38</v>
      </c>
      <c r="R44" s="29">
        <f>6120845.03+730823.17</f>
        <v>6851668.2000000002</v>
      </c>
      <c r="S44" s="29">
        <v>730823.17</v>
      </c>
      <c r="T44" s="29">
        <f t="shared" si="1"/>
        <v>730823.17</v>
      </c>
      <c r="U44" s="29">
        <v>6851668.1999999993</v>
      </c>
      <c r="V44" s="32" t="s">
        <v>39</v>
      </c>
    </row>
    <row r="45" spans="1:22" ht="33.75" x14ac:dyDescent="0.25">
      <c r="A45" s="28" t="s">
        <v>202</v>
      </c>
      <c r="B45" s="28" t="s">
        <v>203</v>
      </c>
      <c r="C45" s="28">
        <v>0</v>
      </c>
      <c r="D45" s="29">
        <v>0</v>
      </c>
      <c r="E45" s="29">
        <v>0</v>
      </c>
      <c r="F45" s="29">
        <v>0</v>
      </c>
      <c r="G45" s="28" t="s">
        <v>146</v>
      </c>
      <c r="H45" s="28" t="s">
        <v>147</v>
      </c>
      <c r="I45" s="30" t="s">
        <v>204</v>
      </c>
      <c r="J45" s="31">
        <v>45078</v>
      </c>
      <c r="K45" s="30">
        <v>760</v>
      </c>
      <c r="L45" s="29">
        <v>17399999.920000002</v>
      </c>
      <c r="M45" s="31">
        <f t="shared" si="0"/>
        <v>45838</v>
      </c>
      <c r="N45" s="30">
        <v>0</v>
      </c>
      <c r="O45" s="29">
        <v>0</v>
      </c>
      <c r="P45" s="29">
        <v>0</v>
      </c>
      <c r="Q45" s="30" t="s">
        <v>38</v>
      </c>
      <c r="R45" s="29">
        <f>8270107.69+1601868.33</f>
        <v>9871976.0199999996</v>
      </c>
      <c r="S45" s="29">
        <v>5667836.6600000001</v>
      </c>
      <c r="T45" s="29">
        <f t="shared" si="1"/>
        <v>5667836.6600000001</v>
      </c>
      <c r="U45" s="29">
        <v>9869953.0199999996</v>
      </c>
      <c r="V45" s="32" t="s">
        <v>39</v>
      </c>
    </row>
    <row r="46" spans="1:22" ht="33.75" x14ac:dyDescent="0.25">
      <c r="A46" s="28" t="s">
        <v>197</v>
      </c>
      <c r="B46" s="28" t="s">
        <v>205</v>
      </c>
      <c r="C46" s="28">
        <v>0</v>
      </c>
      <c r="D46" s="29">
        <v>0</v>
      </c>
      <c r="E46" s="29">
        <v>0</v>
      </c>
      <c r="F46" s="29">
        <v>0</v>
      </c>
      <c r="G46" s="28" t="s">
        <v>199</v>
      </c>
      <c r="H46" s="28" t="s">
        <v>200</v>
      </c>
      <c r="I46" s="30" t="s">
        <v>206</v>
      </c>
      <c r="J46" s="31">
        <v>44719</v>
      </c>
      <c r="K46" s="30">
        <v>1155</v>
      </c>
      <c r="L46" s="29">
        <v>8921904</v>
      </c>
      <c r="M46" s="31">
        <f t="shared" si="0"/>
        <v>45874</v>
      </c>
      <c r="N46" s="30">
        <v>0</v>
      </c>
      <c r="O46" s="29">
        <v>0</v>
      </c>
      <c r="P46" s="29">
        <v>696482.5</v>
      </c>
      <c r="Q46" s="30" t="s">
        <v>38</v>
      </c>
      <c r="R46" s="29">
        <f>6063801.1+1260275.72</f>
        <v>7324076.8199999994</v>
      </c>
      <c r="S46" s="29">
        <v>1260275.72</v>
      </c>
      <c r="T46" s="29">
        <f t="shared" si="1"/>
        <v>1260275.72</v>
      </c>
      <c r="U46" s="29">
        <v>7324076.8200000003</v>
      </c>
      <c r="V46" s="32" t="s">
        <v>39</v>
      </c>
    </row>
    <row r="47" spans="1:22" ht="33.75" x14ac:dyDescent="0.25">
      <c r="A47" s="28" t="s">
        <v>207</v>
      </c>
      <c r="B47" s="28" t="s">
        <v>208</v>
      </c>
      <c r="C47" s="28">
        <v>0</v>
      </c>
      <c r="D47" s="29">
        <v>0</v>
      </c>
      <c r="E47" s="29">
        <v>0</v>
      </c>
      <c r="F47" s="29">
        <v>0</v>
      </c>
      <c r="G47" s="28" t="s">
        <v>209</v>
      </c>
      <c r="H47" s="28" t="s">
        <v>210</v>
      </c>
      <c r="I47" s="30" t="s">
        <v>211</v>
      </c>
      <c r="J47" s="31">
        <v>45104</v>
      </c>
      <c r="K47" s="30">
        <v>210</v>
      </c>
      <c r="L47" s="29">
        <v>3970705.84</v>
      </c>
      <c r="M47" s="31">
        <f t="shared" si="0"/>
        <v>45404</v>
      </c>
      <c r="N47" s="30">
        <f>90</f>
        <v>90</v>
      </c>
      <c r="O47" s="29">
        <v>750385.95</v>
      </c>
      <c r="P47" s="29">
        <v>0</v>
      </c>
      <c r="Q47" s="30" t="s">
        <v>58</v>
      </c>
      <c r="R47" s="29">
        <f>2630598.36+593708.68</f>
        <v>3224307.04</v>
      </c>
      <c r="S47" s="29">
        <v>593708.67999999993</v>
      </c>
      <c r="T47" s="29">
        <f t="shared" si="1"/>
        <v>593708.67999999993</v>
      </c>
      <c r="U47" s="29">
        <v>3224307.04</v>
      </c>
      <c r="V47" s="32" t="s">
        <v>39</v>
      </c>
    </row>
    <row r="48" spans="1:22" ht="33.75" x14ac:dyDescent="0.25">
      <c r="A48" s="28" t="s">
        <v>207</v>
      </c>
      <c r="B48" s="28" t="s">
        <v>212</v>
      </c>
      <c r="C48" s="28">
        <v>0</v>
      </c>
      <c r="D48" s="29">
        <v>0</v>
      </c>
      <c r="E48" s="29">
        <v>0</v>
      </c>
      <c r="F48" s="29">
        <v>0</v>
      </c>
      <c r="G48" s="28" t="s">
        <v>209</v>
      </c>
      <c r="H48" s="28" t="s">
        <v>210</v>
      </c>
      <c r="I48" s="30" t="s">
        <v>213</v>
      </c>
      <c r="J48" s="31">
        <v>45104</v>
      </c>
      <c r="K48" s="30">
        <v>210</v>
      </c>
      <c r="L48" s="29">
        <v>663682.94999999995</v>
      </c>
      <c r="M48" s="31">
        <f t="shared" si="0"/>
        <v>45314</v>
      </c>
      <c r="N48" s="30">
        <v>0</v>
      </c>
      <c r="O48" s="29">
        <v>161448.54</v>
      </c>
      <c r="P48" s="29">
        <v>0</v>
      </c>
      <c r="Q48" s="30" t="s">
        <v>58</v>
      </c>
      <c r="R48" s="29">
        <v>825012.04</v>
      </c>
      <c r="S48" s="29">
        <v>0</v>
      </c>
      <c r="T48" s="29">
        <f t="shared" si="1"/>
        <v>0</v>
      </c>
      <c r="U48" s="29">
        <v>825012.04</v>
      </c>
      <c r="V48" s="32" t="s">
        <v>45</v>
      </c>
    </row>
    <row r="49" spans="1:22" ht="45" x14ac:dyDescent="0.25">
      <c r="A49" s="28" t="s">
        <v>214</v>
      </c>
      <c r="B49" s="28" t="s">
        <v>215</v>
      </c>
      <c r="C49" s="28" t="s">
        <v>67</v>
      </c>
      <c r="D49" s="29" t="s">
        <v>68</v>
      </c>
      <c r="E49" s="29">
        <v>0</v>
      </c>
      <c r="F49" s="29">
        <v>0</v>
      </c>
      <c r="G49" s="28" t="s">
        <v>216</v>
      </c>
      <c r="H49" s="28" t="s">
        <v>217</v>
      </c>
      <c r="I49" s="30" t="s">
        <v>218</v>
      </c>
      <c r="J49" s="31">
        <v>44726</v>
      </c>
      <c r="K49" s="30">
        <v>337</v>
      </c>
      <c r="L49" s="29">
        <v>5966954.5499999998</v>
      </c>
      <c r="M49" s="31">
        <f t="shared" si="0"/>
        <v>45303</v>
      </c>
      <c r="N49" s="30">
        <v>240</v>
      </c>
      <c r="O49" s="29">
        <v>1342499.14</v>
      </c>
      <c r="P49" s="29">
        <v>460201</v>
      </c>
      <c r="Q49" s="30" t="s">
        <v>58</v>
      </c>
      <c r="R49" s="29">
        <v>5639929.0499999998</v>
      </c>
      <c r="S49" s="29">
        <v>0</v>
      </c>
      <c r="T49" s="29">
        <f t="shared" si="1"/>
        <v>0</v>
      </c>
      <c r="U49" s="29">
        <v>5639929.0499999998</v>
      </c>
      <c r="V49" s="32" t="s">
        <v>45</v>
      </c>
    </row>
    <row r="50" spans="1:22" ht="33.75" x14ac:dyDescent="0.25">
      <c r="A50" s="28" t="s">
        <v>219</v>
      </c>
      <c r="B50" s="28" t="s">
        <v>220</v>
      </c>
      <c r="C50" s="28" t="s">
        <v>67</v>
      </c>
      <c r="D50" s="29" t="s">
        <v>68</v>
      </c>
      <c r="E50" s="29">
        <v>0</v>
      </c>
      <c r="F50" s="29">
        <v>0</v>
      </c>
      <c r="G50" s="28" t="s">
        <v>131</v>
      </c>
      <c r="H50" s="28" t="s">
        <v>132</v>
      </c>
      <c r="I50" s="30" t="s">
        <v>221</v>
      </c>
      <c r="J50" s="31">
        <v>45093</v>
      </c>
      <c r="K50" s="30">
        <v>240</v>
      </c>
      <c r="L50" s="29">
        <v>6119883.9699999997</v>
      </c>
      <c r="M50" s="31">
        <f t="shared" si="0"/>
        <v>45453</v>
      </c>
      <c r="N50" s="30">
        <v>120</v>
      </c>
      <c r="O50" s="29">
        <v>793045.75</v>
      </c>
      <c r="P50" s="29">
        <v>0</v>
      </c>
      <c r="Q50" s="30" t="s">
        <v>58</v>
      </c>
      <c r="R50" s="29">
        <f>3606876.84+1118904.78</f>
        <v>4725781.62</v>
      </c>
      <c r="S50" s="29">
        <v>1118904.7799999998</v>
      </c>
      <c r="T50" s="29">
        <f t="shared" si="1"/>
        <v>1118904.7799999998</v>
      </c>
      <c r="U50" s="29">
        <v>4725781.63</v>
      </c>
      <c r="V50" s="32" t="s">
        <v>39</v>
      </c>
    </row>
    <row r="51" spans="1:22" ht="45" x14ac:dyDescent="0.25">
      <c r="A51" s="28" t="s">
        <v>222</v>
      </c>
      <c r="B51" s="28" t="s">
        <v>223</v>
      </c>
      <c r="C51" s="28">
        <v>0</v>
      </c>
      <c r="D51" s="29">
        <v>0</v>
      </c>
      <c r="E51" s="29">
        <v>0</v>
      </c>
      <c r="F51" s="29">
        <v>0</v>
      </c>
      <c r="G51" s="28" t="s">
        <v>89</v>
      </c>
      <c r="H51" s="28" t="s">
        <v>90</v>
      </c>
      <c r="I51" s="30" t="s">
        <v>224</v>
      </c>
      <c r="J51" s="31">
        <v>44469</v>
      </c>
      <c r="K51" s="30">
        <v>920</v>
      </c>
      <c r="L51" s="29">
        <v>1730333.68</v>
      </c>
      <c r="M51" s="31">
        <f t="shared" si="0"/>
        <v>45389</v>
      </c>
      <c r="N51" s="30">
        <v>0</v>
      </c>
      <c r="O51" s="29">
        <v>0</v>
      </c>
      <c r="P51" s="29">
        <v>210037.76000000001</v>
      </c>
      <c r="Q51" s="30" t="s">
        <v>38</v>
      </c>
      <c r="R51" s="29">
        <v>1372886.07</v>
      </c>
      <c r="S51" s="29"/>
      <c r="T51" s="29">
        <f t="shared" si="1"/>
        <v>0</v>
      </c>
      <c r="U51" s="29">
        <v>1372886.07</v>
      </c>
      <c r="V51" s="32" t="s">
        <v>39</v>
      </c>
    </row>
    <row r="52" spans="1:22" ht="33.75" x14ac:dyDescent="0.25">
      <c r="A52" s="28" t="s">
        <v>225</v>
      </c>
      <c r="B52" s="28" t="s">
        <v>226</v>
      </c>
      <c r="C52" s="28">
        <v>0</v>
      </c>
      <c r="D52" s="29">
        <v>0</v>
      </c>
      <c r="E52" s="29">
        <v>0</v>
      </c>
      <c r="F52" s="29">
        <v>0</v>
      </c>
      <c r="G52" s="28" t="s">
        <v>120</v>
      </c>
      <c r="H52" s="28" t="s">
        <v>121</v>
      </c>
      <c r="I52" s="30" t="s">
        <v>227</v>
      </c>
      <c r="J52" s="31">
        <v>45092</v>
      </c>
      <c r="K52" s="30">
        <v>1125</v>
      </c>
      <c r="L52" s="29">
        <v>29948485.25</v>
      </c>
      <c r="M52" s="31">
        <f t="shared" si="0"/>
        <v>46217</v>
      </c>
      <c r="N52" s="30">
        <v>0</v>
      </c>
      <c r="O52" s="29">
        <v>0</v>
      </c>
      <c r="P52" s="29">
        <v>0</v>
      </c>
      <c r="Q52" s="30" t="s">
        <v>38</v>
      </c>
      <c r="R52" s="29">
        <f>5287521.67+1967642.76</f>
        <v>7255164.4299999997</v>
      </c>
      <c r="S52" s="29">
        <v>1971878.81</v>
      </c>
      <c r="T52" s="29">
        <f t="shared" si="1"/>
        <v>1971878.81</v>
      </c>
      <c r="U52" s="29">
        <v>6727487.3200000003</v>
      </c>
      <c r="V52" s="32" t="s">
        <v>39</v>
      </c>
    </row>
    <row r="53" spans="1:22" ht="56.25" x14ac:dyDescent="0.25">
      <c r="A53" s="28" t="s">
        <v>192</v>
      </c>
      <c r="B53" s="28" t="s">
        <v>228</v>
      </c>
      <c r="C53" s="28" t="s">
        <v>194</v>
      </c>
      <c r="D53" s="29" t="s">
        <v>195</v>
      </c>
      <c r="E53" s="29">
        <v>3820000</v>
      </c>
      <c r="F53" s="29">
        <v>8000</v>
      </c>
      <c r="G53" s="28" t="s">
        <v>136</v>
      </c>
      <c r="H53" s="28" t="s">
        <v>137</v>
      </c>
      <c r="I53" s="30" t="s">
        <v>229</v>
      </c>
      <c r="J53" s="31">
        <v>44456</v>
      </c>
      <c r="K53" s="30">
        <v>180</v>
      </c>
      <c r="L53" s="29">
        <v>1022476.9</v>
      </c>
      <c r="M53" s="31">
        <f t="shared" si="0"/>
        <v>45384</v>
      </c>
      <c r="N53" s="30">
        <v>748</v>
      </c>
      <c r="O53" s="29">
        <v>0</v>
      </c>
      <c r="P53" s="29">
        <v>-817.52000000000407</v>
      </c>
      <c r="Q53" s="30" t="s">
        <v>58</v>
      </c>
      <c r="R53" s="29">
        <f>383346.66</f>
        <v>383346.66</v>
      </c>
      <c r="S53" s="29"/>
      <c r="T53" s="29">
        <f t="shared" si="1"/>
        <v>0</v>
      </c>
      <c r="U53" s="29">
        <v>383346.66000000003</v>
      </c>
      <c r="V53" s="32" t="s">
        <v>39</v>
      </c>
    </row>
    <row r="54" spans="1:22" ht="33.75" x14ac:dyDescent="0.25">
      <c r="A54" s="28" t="s">
        <v>225</v>
      </c>
      <c r="B54" s="28" t="s">
        <v>230</v>
      </c>
      <c r="C54" s="28">
        <v>0</v>
      </c>
      <c r="D54" s="29">
        <v>0</v>
      </c>
      <c r="E54" s="29">
        <v>0</v>
      </c>
      <c r="F54" s="29">
        <v>0</v>
      </c>
      <c r="G54" s="28" t="s">
        <v>42</v>
      </c>
      <c r="H54" s="28" t="s">
        <v>43</v>
      </c>
      <c r="I54" s="30" t="s">
        <v>231</v>
      </c>
      <c r="J54" s="31">
        <v>45092</v>
      </c>
      <c r="K54" s="30">
        <v>1125</v>
      </c>
      <c r="L54" s="29">
        <v>36023180.299999997</v>
      </c>
      <c r="M54" s="31">
        <f t="shared" si="0"/>
        <v>46217</v>
      </c>
      <c r="N54" s="30">
        <v>0</v>
      </c>
      <c r="O54" s="29">
        <f>2056726.69</f>
        <v>2056726.69</v>
      </c>
      <c r="P54" s="29">
        <v>0</v>
      </c>
      <c r="Q54" s="30" t="s">
        <v>38</v>
      </c>
      <c r="R54" s="29" t="e">
        <f>#REF!+1821848.45</f>
        <v>#REF!</v>
      </c>
      <c r="S54" s="29">
        <v>1713940.64</v>
      </c>
      <c r="T54" s="29">
        <f t="shared" si="1"/>
        <v>1713940.64</v>
      </c>
      <c r="U54" s="29">
        <v>6365490.0099999998</v>
      </c>
      <c r="V54" s="32" t="s">
        <v>39</v>
      </c>
    </row>
    <row r="55" spans="1:22" ht="56.25" x14ac:dyDescent="0.25">
      <c r="A55" s="28" t="s">
        <v>189</v>
      </c>
      <c r="B55" s="28" t="s">
        <v>232</v>
      </c>
      <c r="C55" s="28">
        <v>0</v>
      </c>
      <c r="D55" s="29">
        <v>0</v>
      </c>
      <c r="E55" s="29">
        <v>0</v>
      </c>
      <c r="F55" s="29">
        <v>0</v>
      </c>
      <c r="G55" s="28" t="s">
        <v>233</v>
      </c>
      <c r="H55" s="28" t="s">
        <v>234</v>
      </c>
      <c r="I55" s="30" t="s">
        <v>235</v>
      </c>
      <c r="J55" s="31">
        <v>45091</v>
      </c>
      <c r="K55" s="30">
        <v>760</v>
      </c>
      <c r="L55" s="29">
        <v>7947298.9000000004</v>
      </c>
      <c r="M55" s="31">
        <f t="shared" si="0"/>
        <v>45851</v>
      </c>
      <c r="N55" s="30">
        <v>0</v>
      </c>
      <c r="O55" s="29">
        <v>0</v>
      </c>
      <c r="P55" s="29">
        <v>0</v>
      </c>
      <c r="Q55" s="30" t="s">
        <v>38</v>
      </c>
      <c r="R55" s="29">
        <f>1336608.2+513434.8</f>
        <v>1850043</v>
      </c>
      <c r="S55" s="29">
        <v>777163.20000000007</v>
      </c>
      <c r="T55" s="29">
        <f t="shared" si="1"/>
        <v>777163.20000000007</v>
      </c>
      <c r="U55" s="29">
        <v>1850043</v>
      </c>
      <c r="V55" s="32" t="s">
        <v>39</v>
      </c>
    </row>
    <row r="56" spans="1:22" ht="56.25" x14ac:dyDescent="0.25">
      <c r="A56" s="28" t="s">
        <v>189</v>
      </c>
      <c r="B56" s="28" t="s">
        <v>236</v>
      </c>
      <c r="C56" s="28">
        <v>0</v>
      </c>
      <c r="D56" s="29">
        <v>0</v>
      </c>
      <c r="E56" s="29">
        <v>0</v>
      </c>
      <c r="F56" s="29">
        <v>0</v>
      </c>
      <c r="G56" s="28" t="s">
        <v>233</v>
      </c>
      <c r="H56" s="28" t="s">
        <v>234</v>
      </c>
      <c r="I56" s="30" t="s">
        <v>237</v>
      </c>
      <c r="J56" s="31">
        <v>45091</v>
      </c>
      <c r="K56" s="30">
        <v>760</v>
      </c>
      <c r="L56" s="29">
        <v>7782286.4199999999</v>
      </c>
      <c r="M56" s="31">
        <f t="shared" si="0"/>
        <v>45851</v>
      </c>
      <c r="N56" s="30">
        <v>0</v>
      </c>
      <c r="O56" s="29">
        <v>0</v>
      </c>
      <c r="P56" s="29">
        <v>0</v>
      </c>
      <c r="Q56" s="30" t="s">
        <v>38</v>
      </c>
      <c r="R56" s="29">
        <f>1349239.68+535403.52</f>
        <v>1884643.2</v>
      </c>
      <c r="S56" s="29">
        <v>803105.28000000003</v>
      </c>
      <c r="T56" s="29">
        <f t="shared" si="1"/>
        <v>803105.28000000003</v>
      </c>
      <c r="U56" s="29">
        <v>1884643.2</v>
      </c>
      <c r="V56" s="32" t="s">
        <v>39</v>
      </c>
    </row>
    <row r="57" spans="1:22" ht="45" x14ac:dyDescent="0.25">
      <c r="A57" s="28" t="s">
        <v>238</v>
      </c>
      <c r="B57" s="28" t="s">
        <v>239</v>
      </c>
      <c r="C57" s="28" t="s">
        <v>240</v>
      </c>
      <c r="D57" s="29" t="s">
        <v>241</v>
      </c>
      <c r="E57" s="29">
        <v>0</v>
      </c>
      <c r="F57" s="29">
        <v>0</v>
      </c>
      <c r="G57" s="28" t="s">
        <v>131</v>
      </c>
      <c r="H57" s="28" t="s">
        <v>132</v>
      </c>
      <c r="I57" s="30" t="s">
        <v>242</v>
      </c>
      <c r="J57" s="31">
        <v>0</v>
      </c>
      <c r="K57" s="30">
        <v>365</v>
      </c>
      <c r="L57" s="29">
        <v>8704779.25</v>
      </c>
      <c r="M57" s="31">
        <f t="shared" si="0"/>
        <v>365</v>
      </c>
      <c r="N57" s="30">
        <v>0</v>
      </c>
      <c r="O57" s="29">
        <v>0</v>
      </c>
      <c r="P57" s="29">
        <v>0</v>
      </c>
      <c r="Q57" s="30" t="s">
        <v>58</v>
      </c>
      <c r="R57" s="29">
        <v>0</v>
      </c>
      <c r="S57" s="29">
        <v>0</v>
      </c>
      <c r="T57" s="29">
        <f t="shared" si="1"/>
        <v>0</v>
      </c>
      <c r="U57" s="29">
        <v>0</v>
      </c>
      <c r="V57" s="32" t="s">
        <v>243</v>
      </c>
    </row>
    <row r="58" spans="1:22" ht="45" x14ac:dyDescent="0.25">
      <c r="A58" s="28" t="s">
        <v>244</v>
      </c>
      <c r="B58" s="28" t="s">
        <v>245</v>
      </c>
      <c r="C58" s="28">
        <v>0</v>
      </c>
      <c r="D58" s="29">
        <v>0</v>
      </c>
      <c r="E58" s="29">
        <v>0</v>
      </c>
      <c r="F58" s="29">
        <v>0</v>
      </c>
      <c r="G58" s="28" t="s">
        <v>209</v>
      </c>
      <c r="H58" s="28" t="s">
        <v>210</v>
      </c>
      <c r="I58" s="30" t="s">
        <v>246</v>
      </c>
      <c r="J58" s="31">
        <v>45124</v>
      </c>
      <c r="K58" s="30">
        <v>760</v>
      </c>
      <c r="L58" s="29">
        <v>14258024.6</v>
      </c>
      <c r="M58" s="31">
        <f t="shared" si="0"/>
        <v>45884</v>
      </c>
      <c r="N58" s="30">
        <v>0</v>
      </c>
      <c r="O58" s="29">
        <v>2578087.65</v>
      </c>
      <c r="P58" s="29">
        <v>0</v>
      </c>
      <c r="Q58" s="30" t="s">
        <v>38</v>
      </c>
      <c r="R58" s="29">
        <f>5278130.22+702418.94</f>
        <v>5980549.1600000001</v>
      </c>
      <c r="S58" s="29">
        <v>702418.94</v>
      </c>
      <c r="T58" s="29">
        <f t="shared" si="1"/>
        <v>702418.94</v>
      </c>
      <c r="U58" s="29">
        <v>5980549.1600000001</v>
      </c>
      <c r="V58" s="32" t="s">
        <v>39</v>
      </c>
    </row>
    <row r="59" spans="1:22" ht="33.75" x14ac:dyDescent="0.25">
      <c r="A59" s="28" t="s">
        <v>247</v>
      </c>
      <c r="B59" s="28" t="s">
        <v>248</v>
      </c>
      <c r="C59" s="28" t="s">
        <v>163</v>
      </c>
      <c r="D59" s="29" t="s">
        <v>164</v>
      </c>
      <c r="E59" s="29">
        <v>0</v>
      </c>
      <c r="F59" s="29">
        <v>0</v>
      </c>
      <c r="G59" s="28" t="s">
        <v>120</v>
      </c>
      <c r="H59" s="28" t="s">
        <v>121</v>
      </c>
      <c r="I59" s="30" t="s">
        <v>249</v>
      </c>
      <c r="J59" s="31">
        <v>44776</v>
      </c>
      <c r="K59" s="30">
        <v>600</v>
      </c>
      <c r="L59" s="29">
        <v>6573647.8899999997</v>
      </c>
      <c r="M59" s="31">
        <f t="shared" si="0"/>
        <v>45376</v>
      </c>
      <c r="N59" s="30">
        <v>0</v>
      </c>
      <c r="O59" s="29">
        <v>1643633.29</v>
      </c>
      <c r="P59" s="29">
        <v>0</v>
      </c>
      <c r="Q59" s="30" t="s">
        <v>58</v>
      </c>
      <c r="R59" s="29">
        <v>6399453.0099999998</v>
      </c>
      <c r="S59" s="29"/>
      <c r="T59" s="29">
        <f t="shared" si="1"/>
        <v>0</v>
      </c>
      <c r="U59" s="29">
        <v>6399453.0099999998</v>
      </c>
      <c r="V59" s="32" t="s">
        <v>39</v>
      </c>
    </row>
    <row r="60" spans="1:22" ht="45" x14ac:dyDescent="0.25">
      <c r="A60" s="28" t="s">
        <v>244</v>
      </c>
      <c r="B60" s="28" t="s">
        <v>250</v>
      </c>
      <c r="C60" s="28">
        <v>0</v>
      </c>
      <c r="D60" s="29">
        <v>0</v>
      </c>
      <c r="E60" s="29">
        <v>0</v>
      </c>
      <c r="F60" s="29">
        <v>0</v>
      </c>
      <c r="G60" s="28" t="s">
        <v>251</v>
      </c>
      <c r="H60" s="28" t="s">
        <v>252</v>
      </c>
      <c r="I60" s="30" t="s">
        <v>253</v>
      </c>
      <c r="J60" s="31">
        <v>45124</v>
      </c>
      <c r="K60" s="30">
        <v>760</v>
      </c>
      <c r="L60" s="29">
        <v>14460208.800000001</v>
      </c>
      <c r="M60" s="31">
        <f t="shared" si="0"/>
        <v>45884</v>
      </c>
      <c r="N60" s="30">
        <v>0</v>
      </c>
      <c r="O60" s="29">
        <v>1894636.72</v>
      </c>
      <c r="P60" s="29">
        <v>0</v>
      </c>
      <c r="Q60" s="30" t="s">
        <v>38</v>
      </c>
      <c r="R60" s="29">
        <f>4049221.15+661323.01</f>
        <v>4710544.16</v>
      </c>
      <c r="S60" s="29">
        <v>577516.62</v>
      </c>
      <c r="T60" s="29">
        <f t="shared" si="1"/>
        <v>577516.62</v>
      </c>
      <c r="U60" s="29">
        <v>4549199.3099999996</v>
      </c>
      <c r="V60" s="32" t="s">
        <v>39</v>
      </c>
    </row>
    <row r="61" spans="1:22" ht="67.5" x14ac:dyDescent="0.25">
      <c r="A61" s="28" t="s">
        <v>254</v>
      </c>
      <c r="B61" s="28" t="s">
        <v>255</v>
      </c>
      <c r="C61" s="28">
        <v>0</v>
      </c>
      <c r="D61" s="29">
        <v>0</v>
      </c>
      <c r="E61" s="29">
        <v>0</v>
      </c>
      <c r="F61" s="29">
        <v>0</v>
      </c>
      <c r="G61" s="28" t="s">
        <v>89</v>
      </c>
      <c r="H61" s="28" t="s">
        <v>90</v>
      </c>
      <c r="I61" s="30" t="s">
        <v>256</v>
      </c>
      <c r="J61" s="31">
        <v>44774</v>
      </c>
      <c r="K61" s="30">
        <v>760</v>
      </c>
      <c r="L61" s="29">
        <v>3890767.22</v>
      </c>
      <c r="M61" s="31">
        <f t="shared" si="0"/>
        <v>45534</v>
      </c>
      <c r="N61" s="30">
        <v>0</v>
      </c>
      <c r="O61" s="29">
        <v>452758.85</v>
      </c>
      <c r="P61" s="29">
        <v>0</v>
      </c>
      <c r="Q61" s="30" t="s">
        <v>38</v>
      </c>
      <c r="R61" s="29">
        <f>1874826.03+206694.31</f>
        <v>2081520.34</v>
      </c>
      <c r="S61" s="29">
        <v>320560.05</v>
      </c>
      <c r="T61" s="29">
        <f t="shared" si="1"/>
        <v>320560.05</v>
      </c>
      <c r="U61" s="29">
        <v>2081520.3400000003</v>
      </c>
      <c r="V61" s="32" t="s">
        <v>39</v>
      </c>
    </row>
    <row r="62" spans="1:22" ht="33.75" x14ac:dyDescent="0.25">
      <c r="A62" s="28" t="s">
        <v>257</v>
      </c>
      <c r="B62" s="28" t="s">
        <v>258</v>
      </c>
      <c r="C62" s="28">
        <v>0</v>
      </c>
      <c r="D62" s="29">
        <v>0</v>
      </c>
      <c r="E62" s="29">
        <v>0</v>
      </c>
      <c r="F62" s="29">
        <v>0</v>
      </c>
      <c r="G62" s="28" t="s">
        <v>259</v>
      </c>
      <c r="H62" s="28" t="s">
        <v>260</v>
      </c>
      <c r="I62" s="30" t="s">
        <v>261</v>
      </c>
      <c r="J62" s="31">
        <v>0</v>
      </c>
      <c r="K62" s="30">
        <v>365</v>
      </c>
      <c r="L62" s="29">
        <v>29849994.719999999</v>
      </c>
      <c r="M62" s="31">
        <f t="shared" si="0"/>
        <v>365</v>
      </c>
      <c r="N62" s="30">
        <v>0</v>
      </c>
      <c r="O62" s="29">
        <v>0</v>
      </c>
      <c r="P62" s="29">
        <v>0</v>
      </c>
      <c r="Q62" s="30" t="s">
        <v>38</v>
      </c>
      <c r="R62" s="29">
        <v>0</v>
      </c>
      <c r="S62" s="29">
        <v>0</v>
      </c>
      <c r="T62" s="29">
        <f t="shared" si="1"/>
        <v>0</v>
      </c>
      <c r="U62" s="29">
        <v>0</v>
      </c>
      <c r="V62" s="32" t="s">
        <v>262</v>
      </c>
    </row>
    <row r="63" spans="1:22" ht="67.5" x14ac:dyDescent="0.25">
      <c r="A63" s="28" t="s">
        <v>263</v>
      </c>
      <c r="B63" s="28" t="s">
        <v>264</v>
      </c>
      <c r="C63" s="28">
        <v>0</v>
      </c>
      <c r="D63" s="29">
        <v>0</v>
      </c>
      <c r="E63" s="29">
        <v>0</v>
      </c>
      <c r="F63" s="29">
        <v>0</v>
      </c>
      <c r="G63" s="28" t="s">
        <v>265</v>
      </c>
      <c r="H63" s="28" t="s">
        <v>266</v>
      </c>
      <c r="I63" s="30" t="s">
        <v>267</v>
      </c>
      <c r="J63" s="31">
        <v>44776</v>
      </c>
      <c r="K63" s="30">
        <v>907</v>
      </c>
      <c r="L63" s="29">
        <v>2538999.92</v>
      </c>
      <c r="M63" s="31">
        <f t="shared" si="0"/>
        <v>45683</v>
      </c>
      <c r="N63" s="30">
        <v>0</v>
      </c>
      <c r="O63" s="29">
        <v>0</v>
      </c>
      <c r="P63" s="29">
        <v>0</v>
      </c>
      <c r="Q63" s="30" t="s">
        <v>38</v>
      </c>
      <c r="R63" s="29">
        <f>1158482.83+155806.16</f>
        <v>1314288.99</v>
      </c>
      <c r="S63" s="29">
        <v>155806.15999999997</v>
      </c>
      <c r="T63" s="29">
        <f t="shared" si="1"/>
        <v>155806.15999999997</v>
      </c>
      <c r="U63" s="29">
        <v>1314288.99</v>
      </c>
      <c r="V63" s="32" t="s">
        <v>39</v>
      </c>
    </row>
    <row r="64" spans="1:22" ht="33.75" x14ac:dyDescent="0.25">
      <c r="A64" s="28" t="s">
        <v>268</v>
      </c>
      <c r="B64" s="28" t="s">
        <v>220</v>
      </c>
      <c r="C64" s="28" t="s">
        <v>67</v>
      </c>
      <c r="D64" s="29" t="s">
        <v>68</v>
      </c>
      <c r="E64" s="29">
        <v>0</v>
      </c>
      <c r="F64" s="29">
        <v>0</v>
      </c>
      <c r="G64" s="28" t="s">
        <v>269</v>
      </c>
      <c r="H64" s="28" t="s">
        <v>270</v>
      </c>
      <c r="I64" s="30" t="s">
        <v>271</v>
      </c>
      <c r="J64" s="31">
        <v>45147</v>
      </c>
      <c r="K64" s="30">
        <v>210</v>
      </c>
      <c r="L64" s="29">
        <v>4564632.83</v>
      </c>
      <c r="M64" s="31">
        <f t="shared" si="0"/>
        <v>45507</v>
      </c>
      <c r="N64" s="30">
        <f>150</f>
        <v>150</v>
      </c>
      <c r="O64" s="29">
        <f>325780.54</f>
        <v>325780.53999999998</v>
      </c>
      <c r="P64" s="29">
        <v>0</v>
      </c>
      <c r="Q64" s="30" t="s">
        <v>58</v>
      </c>
      <c r="R64" s="29">
        <f>1782196.18+1242311.27</f>
        <v>3024507.45</v>
      </c>
      <c r="S64" s="29">
        <v>1242311.27</v>
      </c>
      <c r="T64" s="29">
        <f t="shared" si="1"/>
        <v>1242311.27</v>
      </c>
      <c r="U64" s="29">
        <v>3024507.45</v>
      </c>
      <c r="V64" s="32" t="s">
        <v>39</v>
      </c>
    </row>
    <row r="65" spans="1:22" ht="56.25" x14ac:dyDescent="0.25">
      <c r="A65" s="28" t="s">
        <v>272</v>
      </c>
      <c r="B65" s="28" t="s">
        <v>273</v>
      </c>
      <c r="C65" s="28">
        <v>0</v>
      </c>
      <c r="D65" s="29">
        <v>0</v>
      </c>
      <c r="E65" s="29">
        <v>0</v>
      </c>
      <c r="F65" s="29">
        <v>0</v>
      </c>
      <c r="G65" s="28" t="s">
        <v>274</v>
      </c>
      <c r="H65" s="28" t="s">
        <v>275</v>
      </c>
      <c r="I65" s="30" t="s">
        <v>276</v>
      </c>
      <c r="J65" s="31">
        <v>44775</v>
      </c>
      <c r="K65" s="30">
        <v>365</v>
      </c>
      <c r="L65" s="29">
        <v>50446292</v>
      </c>
      <c r="M65" s="31">
        <f t="shared" si="0"/>
        <v>45506</v>
      </c>
      <c r="N65" s="30">
        <v>366</v>
      </c>
      <c r="O65" s="29">
        <f>50446292+4886801.28</f>
        <v>55333093.280000001</v>
      </c>
      <c r="P65" s="29">
        <v>1586090</v>
      </c>
      <c r="Q65" s="30" t="s">
        <v>38</v>
      </c>
      <c r="R65" s="29">
        <f>60746391.38+9033747.57</f>
        <v>69780138.950000003</v>
      </c>
      <c r="S65" s="29">
        <v>7969375.1899999995</v>
      </c>
      <c r="T65" s="29">
        <f t="shared" si="1"/>
        <v>7969375.1899999995</v>
      </c>
      <c r="U65" s="29">
        <v>65596524.620000005</v>
      </c>
      <c r="V65" s="32" t="s">
        <v>39</v>
      </c>
    </row>
    <row r="66" spans="1:22" ht="67.5" x14ac:dyDescent="0.25">
      <c r="A66" s="28" t="s">
        <v>277</v>
      </c>
      <c r="B66" s="28" t="s">
        <v>278</v>
      </c>
      <c r="C66" s="28">
        <v>0</v>
      </c>
      <c r="D66" s="29">
        <v>0</v>
      </c>
      <c r="E66" s="29">
        <v>0</v>
      </c>
      <c r="F66" s="29">
        <v>0</v>
      </c>
      <c r="G66" s="28" t="s">
        <v>265</v>
      </c>
      <c r="H66" s="28" t="s">
        <v>266</v>
      </c>
      <c r="I66" s="30" t="s">
        <v>279</v>
      </c>
      <c r="J66" s="31">
        <v>45117</v>
      </c>
      <c r="K66" s="30">
        <v>760</v>
      </c>
      <c r="L66" s="29">
        <v>7891811.4000000004</v>
      </c>
      <c r="M66" s="31">
        <f t="shared" si="0"/>
        <v>45877</v>
      </c>
      <c r="N66" s="30">
        <v>0</v>
      </c>
      <c r="O66" s="29">
        <v>0</v>
      </c>
      <c r="P66" s="29">
        <v>0</v>
      </c>
      <c r="Q66" s="30" t="s">
        <v>38</v>
      </c>
      <c r="R66" s="29">
        <f>954417.93+627446.05</f>
        <v>1581863.98</v>
      </c>
      <c r="S66" s="29">
        <v>627446.05000000005</v>
      </c>
      <c r="T66" s="29">
        <f t="shared" si="1"/>
        <v>627446.05000000005</v>
      </c>
      <c r="U66" s="29">
        <v>1581863.98</v>
      </c>
      <c r="V66" s="32" t="s">
        <v>39</v>
      </c>
    </row>
    <row r="67" spans="1:22" ht="56.25" x14ac:dyDescent="0.25">
      <c r="A67" s="28" t="s">
        <v>272</v>
      </c>
      <c r="B67" s="28" t="s">
        <v>280</v>
      </c>
      <c r="C67" s="28">
        <v>0</v>
      </c>
      <c r="D67" s="29">
        <v>0</v>
      </c>
      <c r="E67" s="29">
        <v>0</v>
      </c>
      <c r="F67" s="29">
        <v>0</v>
      </c>
      <c r="G67" s="28" t="s">
        <v>274</v>
      </c>
      <c r="H67" s="28" t="s">
        <v>275</v>
      </c>
      <c r="I67" s="30" t="s">
        <v>281</v>
      </c>
      <c r="J67" s="31">
        <v>44775</v>
      </c>
      <c r="K67" s="30">
        <v>365</v>
      </c>
      <c r="L67" s="29">
        <v>12552600</v>
      </c>
      <c r="M67" s="31">
        <f t="shared" si="0"/>
        <v>45506</v>
      </c>
      <c r="N67" s="30">
        <v>366</v>
      </c>
      <c r="O67" s="29">
        <f>12552600+1276398.72</f>
        <v>13828998.720000001</v>
      </c>
      <c r="P67" s="29">
        <v>394500</v>
      </c>
      <c r="Q67" s="30" t="s">
        <v>38</v>
      </c>
      <c r="R67" s="29">
        <f>14596549.82+2298425.16</f>
        <v>16894974.98</v>
      </c>
      <c r="S67" s="29">
        <v>1636746.71</v>
      </c>
      <c r="T67" s="29">
        <f t="shared" si="1"/>
        <v>1636746.71</v>
      </c>
      <c r="U67" s="29">
        <v>15579965.530000001</v>
      </c>
      <c r="V67" s="32" t="s">
        <v>39</v>
      </c>
    </row>
    <row r="68" spans="1:22" ht="45" x14ac:dyDescent="0.25">
      <c r="A68" s="28" t="s">
        <v>282</v>
      </c>
      <c r="B68" s="28" t="s">
        <v>283</v>
      </c>
      <c r="C68" s="28" t="s">
        <v>67</v>
      </c>
      <c r="D68" s="29" t="s">
        <v>68</v>
      </c>
      <c r="E68" s="29">
        <v>0</v>
      </c>
      <c r="F68" s="29">
        <v>0</v>
      </c>
      <c r="G68" s="28" t="s">
        <v>216</v>
      </c>
      <c r="H68" s="28" t="s">
        <v>217</v>
      </c>
      <c r="I68" s="30" t="s">
        <v>284</v>
      </c>
      <c r="J68" s="31">
        <v>45146</v>
      </c>
      <c r="K68" s="30">
        <v>210</v>
      </c>
      <c r="L68" s="29">
        <v>1686657.25</v>
      </c>
      <c r="M68" s="31">
        <f t="shared" si="0"/>
        <v>45356</v>
      </c>
      <c r="N68" s="30">
        <v>0</v>
      </c>
      <c r="O68" s="29">
        <v>0</v>
      </c>
      <c r="P68" s="29">
        <v>0</v>
      </c>
      <c r="Q68" s="30" t="s">
        <v>58</v>
      </c>
      <c r="R68" s="29">
        <v>0</v>
      </c>
      <c r="S68" s="29">
        <v>0</v>
      </c>
      <c r="T68" s="29">
        <f t="shared" si="1"/>
        <v>0</v>
      </c>
      <c r="U68" s="29">
        <v>0</v>
      </c>
      <c r="V68" s="32" t="s">
        <v>285</v>
      </c>
    </row>
    <row r="69" spans="1:22" ht="33.75" x14ac:dyDescent="0.25">
      <c r="A69" s="28" t="s">
        <v>286</v>
      </c>
      <c r="B69" s="28" t="s">
        <v>287</v>
      </c>
      <c r="C69" s="28" t="s">
        <v>240</v>
      </c>
      <c r="D69" s="29" t="s">
        <v>241</v>
      </c>
      <c r="E69" s="29">
        <v>0</v>
      </c>
      <c r="F69" s="29">
        <v>0</v>
      </c>
      <c r="G69" s="28" t="s">
        <v>288</v>
      </c>
      <c r="H69" s="28" t="s">
        <v>289</v>
      </c>
      <c r="I69" s="30" t="s">
        <v>290</v>
      </c>
      <c r="J69" s="31">
        <v>45208</v>
      </c>
      <c r="K69" s="30">
        <v>600</v>
      </c>
      <c r="L69" s="29">
        <v>3397945.68</v>
      </c>
      <c r="M69" s="31">
        <f t="shared" si="0"/>
        <v>45808</v>
      </c>
      <c r="N69" s="30">
        <v>0</v>
      </c>
      <c r="O69" s="29">
        <v>0</v>
      </c>
      <c r="P69" s="29">
        <v>0</v>
      </c>
      <c r="Q69" s="30" t="s">
        <v>58</v>
      </c>
      <c r="R69" s="29">
        <f>400038.5+412382.47</f>
        <v>812420.97</v>
      </c>
      <c r="S69" s="29">
        <v>151944.10999999999</v>
      </c>
      <c r="T69" s="29">
        <f t="shared" si="1"/>
        <v>151944.10999999999</v>
      </c>
      <c r="U69" s="29">
        <v>384875.02</v>
      </c>
      <c r="V69" s="32" t="s">
        <v>39</v>
      </c>
    </row>
    <row r="70" spans="1:22" ht="33.75" x14ac:dyDescent="0.25">
      <c r="A70" s="28" t="s">
        <v>291</v>
      </c>
      <c r="B70" s="28" t="s">
        <v>292</v>
      </c>
      <c r="C70" s="28">
        <v>0</v>
      </c>
      <c r="D70" s="29">
        <v>0</v>
      </c>
      <c r="E70" s="29">
        <v>0</v>
      </c>
      <c r="F70" s="29">
        <v>0</v>
      </c>
      <c r="G70" s="28" t="s">
        <v>293</v>
      </c>
      <c r="H70" s="28" t="s">
        <v>294</v>
      </c>
      <c r="I70" s="30" t="s">
        <v>295</v>
      </c>
      <c r="J70" s="31">
        <v>45161</v>
      </c>
      <c r="K70" s="30">
        <v>1125</v>
      </c>
      <c r="L70" s="29">
        <v>10997020.199999999</v>
      </c>
      <c r="M70" s="31">
        <f t="shared" si="0"/>
        <v>46286</v>
      </c>
      <c r="N70" s="30">
        <v>0</v>
      </c>
      <c r="O70" s="29">
        <v>0</v>
      </c>
      <c r="P70" s="29">
        <v>0</v>
      </c>
      <c r="Q70" s="30" t="s">
        <v>38</v>
      </c>
      <c r="R70" s="29">
        <f>439958.52+465119.28</f>
        <v>905077.8</v>
      </c>
      <c r="S70" s="29">
        <v>465119.28</v>
      </c>
      <c r="T70" s="29">
        <f t="shared" si="1"/>
        <v>465119.28</v>
      </c>
      <c r="U70" s="29">
        <v>905077.8</v>
      </c>
      <c r="V70" s="32" t="s">
        <v>39</v>
      </c>
    </row>
    <row r="71" spans="1:22" ht="33.75" x14ac:dyDescent="0.25">
      <c r="A71" s="28" t="s">
        <v>296</v>
      </c>
      <c r="B71" s="28" t="s">
        <v>297</v>
      </c>
      <c r="C71" s="28">
        <v>0</v>
      </c>
      <c r="D71" s="29">
        <v>0</v>
      </c>
      <c r="E71" s="29">
        <v>0</v>
      </c>
      <c r="F71" s="29">
        <v>0</v>
      </c>
      <c r="G71" s="28" t="s">
        <v>141</v>
      </c>
      <c r="H71" s="28" t="s">
        <v>142</v>
      </c>
      <c r="I71" s="30" t="s">
        <v>298</v>
      </c>
      <c r="J71" s="31">
        <v>44530</v>
      </c>
      <c r="K71" s="30">
        <v>1920</v>
      </c>
      <c r="L71" s="29">
        <v>133146086.40000001</v>
      </c>
      <c r="M71" s="31">
        <f t="shared" si="0"/>
        <v>46450</v>
      </c>
      <c r="N71" s="30">
        <v>0</v>
      </c>
      <c r="O71" s="29">
        <v>0</v>
      </c>
      <c r="P71" s="29">
        <f>40536248.4+6523886.4</f>
        <v>47060134.799999997</v>
      </c>
      <c r="Q71" s="30" t="s">
        <v>38</v>
      </c>
      <c r="R71" s="29">
        <f>60000290.21+9047315</f>
        <v>69047605.210000008</v>
      </c>
      <c r="S71" s="29">
        <v>6079105.1899999995</v>
      </c>
      <c r="T71" s="29">
        <f t="shared" si="1"/>
        <v>6079105.1899999995</v>
      </c>
      <c r="U71" s="29">
        <v>65980330.079999998</v>
      </c>
      <c r="V71" s="32" t="s">
        <v>39</v>
      </c>
    </row>
    <row r="72" spans="1:22" ht="56.25" x14ac:dyDescent="0.25">
      <c r="A72" s="28" t="s">
        <v>299</v>
      </c>
      <c r="B72" s="28" t="s">
        <v>300</v>
      </c>
      <c r="C72" s="28">
        <v>0</v>
      </c>
      <c r="D72" s="29">
        <v>0</v>
      </c>
      <c r="E72" s="29">
        <v>0</v>
      </c>
      <c r="F72" s="29">
        <v>0</v>
      </c>
      <c r="G72" s="28" t="s">
        <v>301</v>
      </c>
      <c r="H72" s="28" t="s">
        <v>302</v>
      </c>
      <c r="I72" s="30" t="s">
        <v>303</v>
      </c>
      <c r="J72" s="31">
        <v>45162</v>
      </c>
      <c r="K72" s="30">
        <v>210</v>
      </c>
      <c r="L72" s="29">
        <v>1475480.26</v>
      </c>
      <c r="M72" s="31">
        <f t="shared" si="0"/>
        <v>45541</v>
      </c>
      <c r="N72" s="30">
        <f>169</f>
        <v>169</v>
      </c>
      <c r="O72" s="29">
        <v>0</v>
      </c>
      <c r="P72" s="29">
        <v>0</v>
      </c>
      <c r="Q72" s="30" t="s">
        <v>58</v>
      </c>
      <c r="R72" s="29">
        <f>103195.76+86087.65</f>
        <v>189283.40999999997</v>
      </c>
      <c r="S72" s="29">
        <v>56771.79</v>
      </c>
      <c r="T72" s="29">
        <f t="shared" si="1"/>
        <v>56771.79</v>
      </c>
      <c r="U72" s="29">
        <v>83711.08</v>
      </c>
      <c r="V72" s="32" t="s">
        <v>39</v>
      </c>
    </row>
    <row r="73" spans="1:22" ht="56.25" x14ac:dyDescent="0.25">
      <c r="A73" s="28" t="s">
        <v>304</v>
      </c>
      <c r="B73" s="28" t="s">
        <v>305</v>
      </c>
      <c r="C73" s="28">
        <v>0</v>
      </c>
      <c r="D73" s="29">
        <v>0</v>
      </c>
      <c r="E73" s="29">
        <v>0</v>
      </c>
      <c r="F73" s="29">
        <v>0</v>
      </c>
      <c r="G73" s="28" t="s">
        <v>89</v>
      </c>
      <c r="H73" s="28" t="s">
        <v>90</v>
      </c>
      <c r="I73" s="30" t="s">
        <v>306</v>
      </c>
      <c r="J73" s="31">
        <v>44799</v>
      </c>
      <c r="K73" s="30">
        <v>390</v>
      </c>
      <c r="L73" s="29">
        <v>1839293.99</v>
      </c>
      <c r="M73" s="31">
        <f t="shared" ref="M73:M136" si="2">J73+K73+N73</f>
        <v>45382</v>
      </c>
      <c r="N73" s="30">
        <f>133+60</f>
        <v>193</v>
      </c>
      <c r="O73" s="29">
        <f>-99389.02</f>
        <v>-99389.02</v>
      </c>
      <c r="P73" s="29">
        <v>0</v>
      </c>
      <c r="Q73" s="30" t="s">
        <v>58</v>
      </c>
      <c r="R73" s="29">
        <f>896516.05+82363.42</f>
        <v>978879.47000000009</v>
      </c>
      <c r="S73" s="29">
        <v>149010.34999999998</v>
      </c>
      <c r="T73" s="29">
        <f t="shared" ref="T73:T136" si="3">S73</f>
        <v>149010.34999999998</v>
      </c>
      <c r="U73" s="29">
        <v>978879.46999999986</v>
      </c>
      <c r="V73" s="32" t="s">
        <v>39</v>
      </c>
    </row>
    <row r="74" spans="1:22" ht="33.75" x14ac:dyDescent="0.25">
      <c r="A74" s="28" t="s">
        <v>307</v>
      </c>
      <c r="B74" s="28" t="s">
        <v>308</v>
      </c>
      <c r="C74" s="28">
        <v>0</v>
      </c>
      <c r="D74" s="29">
        <v>0</v>
      </c>
      <c r="E74" s="29">
        <v>0</v>
      </c>
      <c r="F74" s="29">
        <v>0</v>
      </c>
      <c r="G74" s="28" t="s">
        <v>309</v>
      </c>
      <c r="H74" s="28" t="s">
        <v>310</v>
      </c>
      <c r="I74" s="30" t="s">
        <v>311</v>
      </c>
      <c r="J74" s="31">
        <v>44531</v>
      </c>
      <c r="K74" s="30">
        <v>1155</v>
      </c>
      <c r="L74" s="29">
        <v>6729243.9000000004</v>
      </c>
      <c r="M74" s="31">
        <f t="shared" si="2"/>
        <v>45686</v>
      </c>
      <c r="N74" s="30">
        <v>0</v>
      </c>
      <c r="O74" s="29">
        <v>804955.03</v>
      </c>
      <c r="P74" s="29">
        <v>-1579310.0099999998</v>
      </c>
      <c r="Q74" s="30" t="s">
        <v>38</v>
      </c>
      <c r="R74" s="29">
        <f>3001454.02+244605.92</f>
        <v>3246059.94</v>
      </c>
      <c r="S74" s="29">
        <v>396929.85000000003</v>
      </c>
      <c r="T74" s="29">
        <f t="shared" si="3"/>
        <v>396929.85000000003</v>
      </c>
      <c r="U74" s="29">
        <v>3053667.74</v>
      </c>
      <c r="V74" s="32" t="s">
        <v>39</v>
      </c>
    </row>
    <row r="75" spans="1:22" ht="33.75" x14ac:dyDescent="0.25">
      <c r="A75" s="28" t="s">
        <v>312</v>
      </c>
      <c r="B75" s="28" t="s">
        <v>313</v>
      </c>
      <c r="C75" s="28">
        <v>0</v>
      </c>
      <c r="D75" s="29">
        <v>0</v>
      </c>
      <c r="E75" s="29">
        <v>0</v>
      </c>
      <c r="F75" s="29">
        <v>0</v>
      </c>
      <c r="G75" s="28" t="s">
        <v>314</v>
      </c>
      <c r="H75" s="28" t="s">
        <v>315</v>
      </c>
      <c r="I75" s="30" t="s">
        <v>316</v>
      </c>
      <c r="J75" s="31">
        <v>45168</v>
      </c>
      <c r="K75" s="30">
        <v>790</v>
      </c>
      <c r="L75" s="29">
        <v>8074090.1799999997</v>
      </c>
      <c r="M75" s="31">
        <f t="shared" si="2"/>
        <v>45958</v>
      </c>
      <c r="N75" s="30">
        <v>0</v>
      </c>
      <c r="O75" s="29">
        <v>0</v>
      </c>
      <c r="P75" s="29">
        <v>0</v>
      </c>
      <c r="Q75" s="30" t="s">
        <v>38</v>
      </c>
      <c r="R75" s="29">
        <f>1699924.82+505498.04</f>
        <v>2205422.86</v>
      </c>
      <c r="S75" s="29"/>
      <c r="T75" s="29">
        <f t="shared" si="3"/>
        <v>0</v>
      </c>
      <c r="U75" s="29">
        <v>1699924.82</v>
      </c>
      <c r="V75" s="32" t="s">
        <v>39</v>
      </c>
    </row>
    <row r="76" spans="1:22" ht="33.75" x14ac:dyDescent="0.25">
      <c r="A76" s="28" t="s">
        <v>317</v>
      </c>
      <c r="B76" s="28" t="s">
        <v>318</v>
      </c>
      <c r="C76" s="28">
        <v>0</v>
      </c>
      <c r="D76" s="29">
        <v>0</v>
      </c>
      <c r="E76" s="29">
        <v>0</v>
      </c>
      <c r="F76" s="29">
        <v>0</v>
      </c>
      <c r="G76" s="28" t="s">
        <v>141</v>
      </c>
      <c r="H76" s="28" t="s">
        <v>142</v>
      </c>
      <c r="I76" s="30" t="s">
        <v>319</v>
      </c>
      <c r="J76" s="31">
        <v>44802</v>
      </c>
      <c r="K76" s="30">
        <v>1155</v>
      </c>
      <c r="L76" s="29">
        <v>34378587.229999997</v>
      </c>
      <c r="M76" s="31">
        <f t="shared" si="2"/>
        <v>45957</v>
      </c>
      <c r="N76" s="30">
        <v>0</v>
      </c>
      <c r="O76" s="29">
        <f>4891774.32+2388354.4</f>
        <v>7280128.7200000007</v>
      </c>
      <c r="P76" s="29">
        <v>0</v>
      </c>
      <c r="Q76" s="30" t="s">
        <v>38</v>
      </c>
      <c r="R76" s="29">
        <f>15427831.37+1525955.95</f>
        <v>16953787.32</v>
      </c>
      <c r="S76" s="29">
        <v>1756895.46</v>
      </c>
      <c r="T76" s="29">
        <f t="shared" si="3"/>
        <v>1756895.46</v>
      </c>
      <c r="U76" s="29">
        <v>16319670.149999999</v>
      </c>
      <c r="V76" s="32" t="s">
        <v>39</v>
      </c>
    </row>
    <row r="77" spans="1:22" ht="45" x14ac:dyDescent="0.25">
      <c r="A77" s="28" t="s">
        <v>320</v>
      </c>
      <c r="B77" s="28" t="s">
        <v>321</v>
      </c>
      <c r="C77" s="28" t="s">
        <v>240</v>
      </c>
      <c r="D77" s="29" t="s">
        <v>241</v>
      </c>
      <c r="E77" s="29">
        <v>0</v>
      </c>
      <c r="F77" s="29">
        <v>0</v>
      </c>
      <c r="G77" s="28" t="s">
        <v>131</v>
      </c>
      <c r="H77" s="28" t="s">
        <v>132</v>
      </c>
      <c r="I77" s="30" t="s">
        <v>322</v>
      </c>
      <c r="J77" s="31">
        <v>45175</v>
      </c>
      <c r="K77" s="30">
        <v>210</v>
      </c>
      <c r="L77" s="29">
        <v>724054.28</v>
      </c>
      <c r="M77" s="31">
        <f t="shared" si="2"/>
        <v>45385</v>
      </c>
      <c r="N77" s="30">
        <v>0</v>
      </c>
      <c r="O77" s="29">
        <f>219997.48</f>
        <v>219997.48</v>
      </c>
      <c r="P77" s="29">
        <v>0</v>
      </c>
      <c r="Q77" s="30" t="s">
        <v>58</v>
      </c>
      <c r="R77" s="29">
        <v>723897.41</v>
      </c>
      <c r="S77" s="29">
        <v>0</v>
      </c>
      <c r="T77" s="29">
        <f t="shared" si="3"/>
        <v>0</v>
      </c>
      <c r="U77" s="29">
        <v>723897.41</v>
      </c>
      <c r="V77" s="32" t="s">
        <v>39</v>
      </c>
    </row>
    <row r="78" spans="1:22" ht="45" x14ac:dyDescent="0.25">
      <c r="A78" s="28" t="s">
        <v>323</v>
      </c>
      <c r="B78" s="28" t="s">
        <v>324</v>
      </c>
      <c r="C78" s="28">
        <v>0</v>
      </c>
      <c r="D78" s="29">
        <v>0</v>
      </c>
      <c r="E78" s="29">
        <v>0</v>
      </c>
      <c r="F78" s="29">
        <v>0</v>
      </c>
      <c r="G78" s="28" t="s">
        <v>259</v>
      </c>
      <c r="H78" s="28" t="s">
        <v>260</v>
      </c>
      <c r="I78" s="30" t="s">
        <v>325</v>
      </c>
      <c r="J78" s="31">
        <v>44532</v>
      </c>
      <c r="K78" s="30">
        <v>760</v>
      </c>
      <c r="L78" s="29">
        <v>3380477.52</v>
      </c>
      <c r="M78" s="31">
        <f t="shared" si="2"/>
        <v>45292</v>
      </c>
      <c r="N78" s="30">
        <v>0</v>
      </c>
      <c r="O78" s="29">
        <v>255909.3</v>
      </c>
      <c r="P78" s="29">
        <v>493400.13</v>
      </c>
      <c r="Q78" s="30" t="s">
        <v>38</v>
      </c>
      <c r="R78" s="29">
        <v>4003157.15</v>
      </c>
      <c r="S78" s="29">
        <v>0</v>
      </c>
      <c r="T78" s="29">
        <f t="shared" si="3"/>
        <v>0</v>
      </c>
      <c r="U78" s="29">
        <v>4003157.15</v>
      </c>
      <c r="V78" s="32" t="s">
        <v>45</v>
      </c>
    </row>
    <row r="79" spans="1:22" ht="33.75" x14ac:dyDescent="0.25">
      <c r="A79" s="28" t="s">
        <v>317</v>
      </c>
      <c r="B79" s="28" t="s">
        <v>326</v>
      </c>
      <c r="C79" s="28">
        <v>0</v>
      </c>
      <c r="D79" s="29">
        <v>0</v>
      </c>
      <c r="E79" s="29">
        <v>0</v>
      </c>
      <c r="F79" s="29">
        <v>0</v>
      </c>
      <c r="G79" s="28" t="s">
        <v>120</v>
      </c>
      <c r="H79" s="28" t="s">
        <v>121</v>
      </c>
      <c r="I79" s="30" t="s">
        <v>327</v>
      </c>
      <c r="J79" s="31">
        <v>44802</v>
      </c>
      <c r="K79" s="30">
        <v>1155</v>
      </c>
      <c r="L79" s="29">
        <v>35796096.350000001</v>
      </c>
      <c r="M79" s="31">
        <f t="shared" si="2"/>
        <v>45957</v>
      </c>
      <c r="N79" s="30">
        <v>0</v>
      </c>
      <c r="O79" s="29">
        <v>2858230.55</v>
      </c>
      <c r="P79" s="29">
        <v>1137362.01</v>
      </c>
      <c r="Q79" s="30" t="s">
        <v>38</v>
      </c>
      <c r="R79" s="29">
        <f>14499664.51+2539086.19</f>
        <v>17038750.699999999</v>
      </c>
      <c r="S79" s="29">
        <v>2360806.04</v>
      </c>
      <c r="T79" s="29">
        <f t="shared" si="3"/>
        <v>2360806.04</v>
      </c>
      <c r="U79" s="29">
        <v>16034576.989999998</v>
      </c>
      <c r="V79" s="32" t="s">
        <v>39</v>
      </c>
    </row>
    <row r="80" spans="1:22" ht="45" x14ac:dyDescent="0.25">
      <c r="A80" s="28" t="s">
        <v>328</v>
      </c>
      <c r="B80" s="28" t="s">
        <v>329</v>
      </c>
      <c r="C80" s="28">
        <v>0</v>
      </c>
      <c r="D80" s="29">
        <v>0</v>
      </c>
      <c r="E80" s="29">
        <v>0</v>
      </c>
      <c r="F80" s="29">
        <v>0</v>
      </c>
      <c r="G80" s="28" t="s">
        <v>48</v>
      </c>
      <c r="H80" s="28" t="s">
        <v>49</v>
      </c>
      <c r="I80" s="30" t="s">
        <v>330</v>
      </c>
      <c r="J80" s="31">
        <v>0</v>
      </c>
      <c r="K80" s="30">
        <v>760</v>
      </c>
      <c r="L80" s="29">
        <v>31856865.379999999</v>
      </c>
      <c r="M80" s="31">
        <f t="shared" si="2"/>
        <v>760</v>
      </c>
      <c r="N80" s="30">
        <v>0</v>
      </c>
      <c r="O80" s="29">
        <v>0</v>
      </c>
      <c r="P80" s="29">
        <v>0</v>
      </c>
      <c r="Q80" s="30" t="s">
        <v>58</v>
      </c>
      <c r="R80" s="29">
        <v>0</v>
      </c>
      <c r="S80" s="29">
        <v>0</v>
      </c>
      <c r="T80" s="29">
        <f t="shared" si="3"/>
        <v>0</v>
      </c>
      <c r="U80" s="29">
        <v>0</v>
      </c>
      <c r="V80" s="32" t="s">
        <v>128</v>
      </c>
    </row>
    <row r="81" spans="1:22" ht="56.25" x14ac:dyDescent="0.25">
      <c r="A81" s="28" t="s">
        <v>331</v>
      </c>
      <c r="B81" s="28" t="s">
        <v>332</v>
      </c>
      <c r="C81" s="28">
        <v>0</v>
      </c>
      <c r="D81" s="29">
        <v>0</v>
      </c>
      <c r="E81" s="29">
        <v>0</v>
      </c>
      <c r="F81" s="29">
        <v>0</v>
      </c>
      <c r="G81" s="28" t="s">
        <v>333</v>
      </c>
      <c r="H81" s="28" t="s">
        <v>334</v>
      </c>
      <c r="I81" s="30" t="s">
        <v>335</v>
      </c>
      <c r="J81" s="31">
        <v>44531</v>
      </c>
      <c r="K81" s="30">
        <v>1890</v>
      </c>
      <c r="L81" s="29">
        <v>39551349</v>
      </c>
      <c r="M81" s="31">
        <f t="shared" si="2"/>
        <v>46421</v>
      </c>
      <c r="N81" s="30">
        <v>0</v>
      </c>
      <c r="O81" s="29">
        <f>3269757.48</f>
        <v>3269757.48</v>
      </c>
      <c r="P81" s="29">
        <f>2254425.6+2550151.2</f>
        <v>4804576.8000000007</v>
      </c>
      <c r="Q81" s="30" t="s">
        <v>38</v>
      </c>
      <c r="R81" s="29">
        <f>16293682.31+1478530.86</f>
        <v>17772213.170000002</v>
      </c>
      <c r="S81" s="29">
        <v>2132791.25</v>
      </c>
      <c r="T81" s="29">
        <f t="shared" si="3"/>
        <v>2132791.25</v>
      </c>
      <c r="U81" s="29">
        <v>17032947.740000002</v>
      </c>
      <c r="V81" s="32" t="s">
        <v>39</v>
      </c>
    </row>
    <row r="82" spans="1:22" ht="45" x14ac:dyDescent="0.25">
      <c r="A82" s="28" t="s">
        <v>336</v>
      </c>
      <c r="B82" s="28" t="s">
        <v>337</v>
      </c>
      <c r="C82" s="28" t="s">
        <v>67</v>
      </c>
      <c r="D82" s="29" t="s">
        <v>68</v>
      </c>
      <c r="E82" s="29">
        <v>0</v>
      </c>
      <c r="F82" s="29">
        <v>0</v>
      </c>
      <c r="G82" s="28" t="s">
        <v>338</v>
      </c>
      <c r="H82" s="28" t="s">
        <v>339</v>
      </c>
      <c r="I82" s="30" t="s">
        <v>340</v>
      </c>
      <c r="J82" s="31">
        <v>44812</v>
      </c>
      <c r="K82" s="30">
        <v>270</v>
      </c>
      <c r="L82" s="29">
        <v>3825898.74</v>
      </c>
      <c r="M82" s="31">
        <f t="shared" si="2"/>
        <v>45492</v>
      </c>
      <c r="N82" s="30">
        <f>320+90</f>
        <v>410</v>
      </c>
      <c r="O82" s="29">
        <f>515162.26+279294.73</f>
        <v>794456.99</v>
      </c>
      <c r="P82" s="29">
        <v>0</v>
      </c>
      <c r="Q82" s="30" t="s">
        <v>58</v>
      </c>
      <c r="R82" s="29">
        <f>2006744.37+627597.98</f>
        <v>2634342.35</v>
      </c>
      <c r="S82" s="29">
        <v>627597.98</v>
      </c>
      <c r="T82" s="29">
        <f t="shared" si="3"/>
        <v>627597.98</v>
      </c>
      <c r="U82" s="29">
        <v>2634342.35</v>
      </c>
      <c r="V82" s="32" t="s">
        <v>39</v>
      </c>
    </row>
    <row r="83" spans="1:22" ht="22.5" x14ac:dyDescent="0.25">
      <c r="A83" s="28" t="s">
        <v>341</v>
      </c>
      <c r="B83" s="28" t="s">
        <v>342</v>
      </c>
      <c r="C83" s="28">
        <v>0</v>
      </c>
      <c r="D83" s="29">
        <v>0</v>
      </c>
      <c r="E83" s="29">
        <v>0</v>
      </c>
      <c r="F83" s="29">
        <v>0</v>
      </c>
      <c r="G83" s="28" t="s">
        <v>48</v>
      </c>
      <c r="H83" s="28" t="s">
        <v>49</v>
      </c>
      <c r="I83" s="30" t="s">
        <v>343</v>
      </c>
      <c r="J83" s="31">
        <v>45195</v>
      </c>
      <c r="K83" s="30">
        <v>1125</v>
      </c>
      <c r="L83" s="29">
        <v>14363565.119999999</v>
      </c>
      <c r="M83" s="31">
        <f t="shared" si="2"/>
        <v>46320</v>
      </c>
      <c r="N83" s="30">
        <v>0</v>
      </c>
      <c r="O83" s="29">
        <v>0</v>
      </c>
      <c r="P83" s="29">
        <v>0</v>
      </c>
      <c r="Q83" s="30" t="s">
        <v>38</v>
      </c>
      <c r="R83" s="29">
        <f>93619.16</f>
        <v>93619.16</v>
      </c>
      <c r="S83" s="29">
        <v>93619.16</v>
      </c>
      <c r="T83" s="29">
        <f t="shared" si="3"/>
        <v>93619.16</v>
      </c>
      <c r="U83" s="29">
        <v>93619.16</v>
      </c>
      <c r="V83" s="32" t="s">
        <v>39</v>
      </c>
    </row>
    <row r="84" spans="1:22" ht="45" x14ac:dyDescent="0.25">
      <c r="A84" s="28" t="s">
        <v>344</v>
      </c>
      <c r="B84" s="28" t="s">
        <v>345</v>
      </c>
      <c r="C84" s="28" t="s">
        <v>67</v>
      </c>
      <c r="D84" s="29" t="s">
        <v>68</v>
      </c>
      <c r="E84" s="29">
        <v>0</v>
      </c>
      <c r="F84" s="29">
        <v>0</v>
      </c>
      <c r="G84" s="28" t="s">
        <v>338</v>
      </c>
      <c r="H84" s="28" t="s">
        <v>339</v>
      </c>
      <c r="I84" s="30" t="s">
        <v>346</v>
      </c>
      <c r="J84" s="31">
        <v>44803</v>
      </c>
      <c r="K84" s="30">
        <v>270</v>
      </c>
      <c r="L84" s="29">
        <v>8106707.0800000001</v>
      </c>
      <c r="M84" s="31">
        <f t="shared" si="2"/>
        <v>45533</v>
      </c>
      <c r="N84" s="30">
        <f>370+90</f>
        <v>460</v>
      </c>
      <c r="O84" s="29">
        <v>1255236.83</v>
      </c>
      <c r="P84" s="29">
        <v>0</v>
      </c>
      <c r="Q84" s="30" t="s">
        <v>58</v>
      </c>
      <c r="R84" s="29">
        <f>2983245.63+556787.25</f>
        <v>3540032.88</v>
      </c>
      <c r="S84" s="29">
        <v>556787.25</v>
      </c>
      <c r="T84" s="29">
        <f t="shared" si="3"/>
        <v>556787.25</v>
      </c>
      <c r="U84" s="29">
        <v>3540032.88</v>
      </c>
      <c r="V84" s="32" t="s">
        <v>39</v>
      </c>
    </row>
    <row r="85" spans="1:22" ht="56.25" x14ac:dyDescent="0.25">
      <c r="A85" s="28" t="s">
        <v>347</v>
      </c>
      <c r="B85" s="28" t="s">
        <v>348</v>
      </c>
      <c r="C85" s="28">
        <v>0</v>
      </c>
      <c r="D85" s="29">
        <v>0</v>
      </c>
      <c r="E85" s="29">
        <v>0</v>
      </c>
      <c r="F85" s="29">
        <v>0</v>
      </c>
      <c r="G85" s="28" t="s">
        <v>274</v>
      </c>
      <c r="H85" s="28" t="s">
        <v>275</v>
      </c>
      <c r="I85" s="30" t="s">
        <v>349</v>
      </c>
      <c r="J85" s="31">
        <v>45181</v>
      </c>
      <c r="K85" s="30">
        <v>365</v>
      </c>
      <c r="L85" s="29">
        <v>3408645</v>
      </c>
      <c r="M85" s="31">
        <f t="shared" si="2"/>
        <v>45546</v>
      </c>
      <c r="N85" s="30">
        <v>0</v>
      </c>
      <c r="O85" s="29">
        <v>0</v>
      </c>
      <c r="P85" s="29">
        <v>0</v>
      </c>
      <c r="Q85" s="30" t="s">
        <v>38</v>
      </c>
      <c r="R85" s="29">
        <f>692377.24+329492.29</f>
        <v>1021869.53</v>
      </c>
      <c r="S85" s="29">
        <v>233627.91999999998</v>
      </c>
      <c r="T85" s="29">
        <f t="shared" si="3"/>
        <v>233627.91999999998</v>
      </c>
      <c r="U85" s="29">
        <v>926005.15999999992</v>
      </c>
      <c r="V85" s="32" t="s">
        <v>39</v>
      </c>
    </row>
    <row r="86" spans="1:22" ht="67.5" x14ac:dyDescent="0.25">
      <c r="A86" s="28" t="s">
        <v>350</v>
      </c>
      <c r="B86" s="28" t="s">
        <v>351</v>
      </c>
      <c r="C86" s="28" t="s">
        <v>352</v>
      </c>
      <c r="D86" s="29" t="s">
        <v>195</v>
      </c>
      <c r="E86" s="29">
        <v>355737</v>
      </c>
      <c r="F86" s="29">
        <v>2000</v>
      </c>
      <c r="G86" s="28" t="s">
        <v>209</v>
      </c>
      <c r="H86" s="28" t="s">
        <v>210</v>
      </c>
      <c r="I86" s="30" t="s">
        <v>353</v>
      </c>
      <c r="J86" s="31">
        <v>44603</v>
      </c>
      <c r="K86" s="30">
        <v>150</v>
      </c>
      <c r="L86" s="29">
        <v>193107.81</v>
      </c>
      <c r="M86" s="31">
        <f t="shared" si="2"/>
        <v>45323</v>
      </c>
      <c r="N86" s="30">
        <v>570</v>
      </c>
      <c r="O86" s="29">
        <v>0</v>
      </c>
      <c r="P86" s="29">
        <v>0</v>
      </c>
      <c r="Q86" s="30" t="s">
        <v>58</v>
      </c>
      <c r="R86" s="29">
        <v>189707.78</v>
      </c>
      <c r="S86" s="29">
        <v>0</v>
      </c>
      <c r="T86" s="29">
        <f t="shared" si="3"/>
        <v>0</v>
      </c>
      <c r="U86" s="29">
        <v>189707.95</v>
      </c>
      <c r="V86" s="32" t="s">
        <v>45</v>
      </c>
    </row>
    <row r="87" spans="1:22" ht="33.75" x14ac:dyDescent="0.25">
      <c r="A87" s="28" t="s">
        <v>354</v>
      </c>
      <c r="B87" s="28" t="s">
        <v>355</v>
      </c>
      <c r="C87" s="28" t="s">
        <v>67</v>
      </c>
      <c r="D87" s="29" t="s">
        <v>68</v>
      </c>
      <c r="E87" s="29">
        <v>0</v>
      </c>
      <c r="F87" s="29">
        <v>0</v>
      </c>
      <c r="G87" s="28" t="s">
        <v>120</v>
      </c>
      <c r="H87" s="28" t="s">
        <v>121</v>
      </c>
      <c r="I87" s="30" t="s">
        <v>356</v>
      </c>
      <c r="J87" s="31">
        <v>44817</v>
      </c>
      <c r="K87" s="30">
        <v>240</v>
      </c>
      <c r="L87" s="29">
        <v>4111668.75</v>
      </c>
      <c r="M87" s="31">
        <f t="shared" si="2"/>
        <v>45399</v>
      </c>
      <c r="N87" s="30">
        <v>342</v>
      </c>
      <c r="O87" s="29">
        <v>1015406.67</v>
      </c>
      <c r="P87" s="29">
        <v>0</v>
      </c>
      <c r="Q87" s="30" t="s">
        <v>58</v>
      </c>
      <c r="R87" s="29">
        <v>4590665.75</v>
      </c>
      <c r="S87" s="29">
        <v>0</v>
      </c>
      <c r="T87" s="29">
        <f t="shared" si="3"/>
        <v>0</v>
      </c>
      <c r="U87" s="29">
        <v>4590665.75</v>
      </c>
      <c r="V87" s="32" t="s">
        <v>39</v>
      </c>
    </row>
    <row r="88" spans="1:22" ht="45" x14ac:dyDescent="0.25">
      <c r="A88" s="28" t="s">
        <v>357</v>
      </c>
      <c r="B88" s="28" t="s">
        <v>358</v>
      </c>
      <c r="C88" s="28">
        <v>0</v>
      </c>
      <c r="D88" s="29">
        <v>0</v>
      </c>
      <c r="E88" s="29">
        <v>0</v>
      </c>
      <c r="F88" s="29">
        <v>0</v>
      </c>
      <c r="G88" s="28" t="s">
        <v>48</v>
      </c>
      <c r="H88" s="28" t="s">
        <v>49</v>
      </c>
      <c r="I88" s="30" t="s">
        <v>359</v>
      </c>
      <c r="J88" s="31">
        <v>45195</v>
      </c>
      <c r="K88" s="30">
        <v>395</v>
      </c>
      <c r="L88" s="29">
        <v>16758709.029999999</v>
      </c>
      <c r="M88" s="31">
        <f t="shared" si="2"/>
        <v>45590</v>
      </c>
      <c r="N88" s="30">
        <v>0</v>
      </c>
      <c r="O88" s="29">
        <v>0</v>
      </c>
      <c r="P88" s="29">
        <v>0</v>
      </c>
      <c r="Q88" s="30" t="s">
        <v>58</v>
      </c>
      <c r="R88" s="29">
        <f>1898248.1+1399993.8</f>
        <v>3298241.9000000004</v>
      </c>
      <c r="S88" s="29">
        <v>1658890.41</v>
      </c>
      <c r="T88" s="29">
        <f t="shared" si="3"/>
        <v>1658890.41</v>
      </c>
      <c r="U88" s="29">
        <v>2670767.8199999998</v>
      </c>
      <c r="V88" s="32" t="s">
        <v>39</v>
      </c>
    </row>
    <row r="89" spans="1:22" ht="67.5" x14ac:dyDescent="0.25">
      <c r="A89" s="28" t="s">
        <v>350</v>
      </c>
      <c r="B89" s="28" t="s">
        <v>351</v>
      </c>
      <c r="C89" s="28" t="s">
        <v>352</v>
      </c>
      <c r="D89" s="29" t="s">
        <v>195</v>
      </c>
      <c r="E89" s="29">
        <v>355737</v>
      </c>
      <c r="F89" s="29">
        <v>2000</v>
      </c>
      <c r="G89" s="28" t="s">
        <v>209</v>
      </c>
      <c r="H89" s="28" t="s">
        <v>210</v>
      </c>
      <c r="I89" s="30" t="s">
        <v>360</v>
      </c>
      <c r="J89" s="31">
        <v>44603</v>
      </c>
      <c r="K89" s="30">
        <v>150</v>
      </c>
      <c r="L89" s="29">
        <v>119800.38</v>
      </c>
      <c r="M89" s="31">
        <f t="shared" si="2"/>
        <v>45263</v>
      </c>
      <c r="N89" s="30">
        <v>510</v>
      </c>
      <c r="O89" s="29">
        <v>0</v>
      </c>
      <c r="P89" s="29">
        <v>-48.25</v>
      </c>
      <c r="Q89" s="30" t="s">
        <v>58</v>
      </c>
      <c r="R89" s="29">
        <v>0</v>
      </c>
      <c r="S89" s="29">
        <v>0</v>
      </c>
      <c r="T89" s="29">
        <f t="shared" si="3"/>
        <v>0</v>
      </c>
      <c r="U89" s="29">
        <v>0</v>
      </c>
      <c r="V89" s="32" t="s">
        <v>39</v>
      </c>
    </row>
    <row r="90" spans="1:22" ht="45" x14ac:dyDescent="0.25">
      <c r="A90" s="28" t="s">
        <v>361</v>
      </c>
      <c r="B90" s="28" t="s">
        <v>362</v>
      </c>
      <c r="C90" s="28">
        <v>0</v>
      </c>
      <c r="D90" s="29">
        <v>0</v>
      </c>
      <c r="E90" s="29">
        <v>0</v>
      </c>
      <c r="F90" s="29">
        <v>0</v>
      </c>
      <c r="G90" s="28" t="s">
        <v>259</v>
      </c>
      <c r="H90" s="28" t="s">
        <v>260</v>
      </c>
      <c r="I90" s="30" t="s">
        <v>363</v>
      </c>
      <c r="J90" s="31">
        <v>45188</v>
      </c>
      <c r="K90" s="30">
        <v>365</v>
      </c>
      <c r="L90" s="29">
        <v>1751620.41</v>
      </c>
      <c r="M90" s="31">
        <f t="shared" si="2"/>
        <v>45553</v>
      </c>
      <c r="N90" s="30">
        <v>0</v>
      </c>
      <c r="O90" s="29">
        <f>344600+87566.6</f>
        <v>432166.6</v>
      </c>
      <c r="P90" s="29">
        <v>0</v>
      </c>
      <c r="Q90" s="30" t="s">
        <v>38</v>
      </c>
      <c r="R90" s="29">
        <f>1650229.02+282731.51</f>
        <v>1932960.53</v>
      </c>
      <c r="S90" s="29">
        <v>483157.33</v>
      </c>
      <c r="T90" s="29">
        <f t="shared" si="3"/>
        <v>483157.33</v>
      </c>
      <c r="U90" s="29">
        <v>1913354.96</v>
      </c>
      <c r="V90" s="32" t="s">
        <v>39</v>
      </c>
    </row>
    <row r="91" spans="1:22" ht="33.75" x14ac:dyDescent="0.25">
      <c r="A91" s="28" t="s">
        <v>364</v>
      </c>
      <c r="B91" s="28" t="s">
        <v>365</v>
      </c>
      <c r="C91" s="28" t="s">
        <v>67</v>
      </c>
      <c r="D91" s="29" t="s">
        <v>68</v>
      </c>
      <c r="E91" s="29">
        <v>0</v>
      </c>
      <c r="F91" s="29">
        <v>0</v>
      </c>
      <c r="G91" s="28" t="s">
        <v>136</v>
      </c>
      <c r="H91" s="28" t="s">
        <v>137</v>
      </c>
      <c r="I91" s="30" t="s">
        <v>366</v>
      </c>
      <c r="J91" s="31">
        <v>45208</v>
      </c>
      <c r="K91" s="30">
        <v>210</v>
      </c>
      <c r="L91" s="29">
        <v>6493788</v>
      </c>
      <c r="M91" s="31">
        <f t="shared" si="2"/>
        <v>45418</v>
      </c>
      <c r="N91" s="30">
        <v>0</v>
      </c>
      <c r="O91" s="29">
        <v>0</v>
      </c>
      <c r="P91" s="29">
        <v>0</v>
      </c>
      <c r="Q91" s="30" t="s">
        <v>58</v>
      </c>
      <c r="R91" s="29">
        <f>2275553.85+1684744.49</f>
        <v>3960298.34</v>
      </c>
      <c r="S91" s="29">
        <v>1684744.49</v>
      </c>
      <c r="T91" s="29">
        <f t="shared" si="3"/>
        <v>1684744.49</v>
      </c>
      <c r="U91" s="29">
        <v>3960298.34</v>
      </c>
      <c r="V91" s="32" t="s">
        <v>39</v>
      </c>
    </row>
    <row r="92" spans="1:22" ht="45" x14ac:dyDescent="0.25">
      <c r="A92" s="28" t="s">
        <v>367</v>
      </c>
      <c r="B92" s="28" t="s">
        <v>368</v>
      </c>
      <c r="C92" s="28" t="s">
        <v>67</v>
      </c>
      <c r="D92" s="29" t="s">
        <v>68</v>
      </c>
      <c r="E92" s="29">
        <v>0</v>
      </c>
      <c r="F92" s="29">
        <v>0</v>
      </c>
      <c r="G92" s="28" t="s">
        <v>369</v>
      </c>
      <c r="H92" s="28" t="s">
        <v>370</v>
      </c>
      <c r="I92" s="30" t="s">
        <v>371</v>
      </c>
      <c r="J92" s="31">
        <v>44615</v>
      </c>
      <c r="K92" s="30">
        <v>645</v>
      </c>
      <c r="L92" s="29">
        <v>9469419.6300000008</v>
      </c>
      <c r="M92" s="31">
        <f t="shared" si="2"/>
        <v>45330</v>
      </c>
      <c r="N92" s="30">
        <v>70</v>
      </c>
      <c r="O92" s="29">
        <v>2995457.54</v>
      </c>
      <c r="P92" s="29">
        <v>41719.01999999996</v>
      </c>
      <c r="Q92" s="30" t="s">
        <v>58</v>
      </c>
      <c r="R92" s="29">
        <v>8577383.2599999998</v>
      </c>
      <c r="S92" s="29"/>
      <c r="T92" s="29">
        <f t="shared" si="3"/>
        <v>0</v>
      </c>
      <c r="U92" s="29">
        <v>8577383.2599999998</v>
      </c>
      <c r="V92" s="32" t="s">
        <v>39</v>
      </c>
    </row>
    <row r="93" spans="1:22" ht="45" x14ac:dyDescent="0.25">
      <c r="A93" s="28" t="s">
        <v>372</v>
      </c>
      <c r="B93" s="28" t="s">
        <v>373</v>
      </c>
      <c r="C93" s="28">
        <v>0</v>
      </c>
      <c r="D93" s="29">
        <v>0</v>
      </c>
      <c r="E93" s="29">
        <v>0</v>
      </c>
      <c r="F93" s="29">
        <v>0</v>
      </c>
      <c r="G93" s="28" t="s">
        <v>374</v>
      </c>
      <c r="H93" s="28" t="s">
        <v>375</v>
      </c>
      <c r="I93" s="30" t="s">
        <v>376</v>
      </c>
      <c r="J93" s="31">
        <v>44559</v>
      </c>
      <c r="K93" s="30">
        <v>760</v>
      </c>
      <c r="L93" s="29">
        <v>2227129.66</v>
      </c>
      <c r="M93" s="31">
        <f t="shared" si="2"/>
        <v>45380</v>
      </c>
      <c r="N93" s="30">
        <v>61</v>
      </c>
      <c r="O93" s="29">
        <v>426390.81</v>
      </c>
      <c r="P93" s="29">
        <v>0</v>
      </c>
      <c r="Q93" s="30" t="s">
        <v>58</v>
      </c>
      <c r="R93" s="29">
        <f>2424214.73+87450.68</f>
        <v>2511665.41</v>
      </c>
      <c r="S93" s="29">
        <v>117495.32999999999</v>
      </c>
      <c r="T93" s="29">
        <f t="shared" si="3"/>
        <v>117495.32999999999</v>
      </c>
      <c r="U93" s="29">
        <v>2511665.41</v>
      </c>
      <c r="V93" s="32" t="s">
        <v>45</v>
      </c>
    </row>
    <row r="94" spans="1:22" ht="33.75" x14ac:dyDescent="0.25">
      <c r="A94" s="28" t="s">
        <v>377</v>
      </c>
      <c r="B94" s="28" t="s">
        <v>378</v>
      </c>
      <c r="C94" s="28">
        <v>0</v>
      </c>
      <c r="D94" s="29">
        <v>0</v>
      </c>
      <c r="E94" s="29">
        <v>0</v>
      </c>
      <c r="F94" s="29">
        <v>0</v>
      </c>
      <c r="G94" s="28" t="s">
        <v>379</v>
      </c>
      <c r="H94" s="28" t="s">
        <v>380</v>
      </c>
      <c r="I94" s="30" t="s">
        <v>381</v>
      </c>
      <c r="J94" s="31">
        <v>44649</v>
      </c>
      <c r="K94" s="30">
        <v>1825</v>
      </c>
      <c r="L94" s="29">
        <v>330511059.97000003</v>
      </c>
      <c r="M94" s="31">
        <f t="shared" si="2"/>
        <v>46474</v>
      </c>
      <c r="N94" s="30">
        <v>0</v>
      </c>
      <c r="O94" s="29">
        <v>0</v>
      </c>
      <c r="P94" s="29">
        <f>32837452.75+14532201.77</f>
        <v>47369654.519999996</v>
      </c>
      <c r="Q94" s="30" t="s">
        <v>38</v>
      </c>
      <c r="R94" s="29">
        <f>72634326.95+16665549.06</f>
        <v>89299876.010000005</v>
      </c>
      <c r="S94" s="29">
        <v>21921221.400000002</v>
      </c>
      <c r="T94" s="29">
        <f t="shared" si="3"/>
        <v>21921221.400000002</v>
      </c>
      <c r="U94" s="29">
        <v>89299876.01000002</v>
      </c>
      <c r="V94" s="32" t="s">
        <v>39</v>
      </c>
    </row>
    <row r="95" spans="1:22" ht="67.5" x14ac:dyDescent="0.25">
      <c r="A95" s="28" t="s">
        <v>382</v>
      </c>
      <c r="B95" s="28" t="s">
        <v>383</v>
      </c>
      <c r="C95" s="28">
        <v>0</v>
      </c>
      <c r="D95" s="29">
        <v>0</v>
      </c>
      <c r="E95" s="29">
        <v>0</v>
      </c>
      <c r="F95" s="29">
        <v>0</v>
      </c>
      <c r="G95" s="28" t="s">
        <v>48</v>
      </c>
      <c r="H95" s="28" t="s">
        <v>49</v>
      </c>
      <c r="I95" s="30" t="s">
        <v>384</v>
      </c>
      <c r="J95" s="31">
        <v>45202</v>
      </c>
      <c r="K95" s="30">
        <v>395</v>
      </c>
      <c r="L95" s="29">
        <v>20882563.460000001</v>
      </c>
      <c r="M95" s="31">
        <f t="shared" si="2"/>
        <v>45597</v>
      </c>
      <c r="N95" s="30">
        <v>0</v>
      </c>
      <c r="O95" s="29">
        <v>0</v>
      </c>
      <c r="P95" s="29">
        <v>0</v>
      </c>
      <c r="Q95" s="30" t="s">
        <v>58</v>
      </c>
      <c r="R95" s="29">
        <f>1899903.79+1428240.91</f>
        <v>3328144.7</v>
      </c>
      <c r="S95" s="29">
        <v>1988956.43</v>
      </c>
      <c r="T95" s="29">
        <f t="shared" si="3"/>
        <v>1988956.43</v>
      </c>
      <c r="U95" s="29">
        <v>2583065.5</v>
      </c>
      <c r="V95" s="32" t="s">
        <v>39</v>
      </c>
    </row>
    <row r="96" spans="1:22" ht="33.75" x14ac:dyDescent="0.25">
      <c r="A96" s="28" t="s">
        <v>377</v>
      </c>
      <c r="B96" s="28" t="s">
        <v>385</v>
      </c>
      <c r="C96" s="28">
        <v>0</v>
      </c>
      <c r="D96" s="29">
        <v>0</v>
      </c>
      <c r="E96" s="29">
        <v>0</v>
      </c>
      <c r="F96" s="29">
        <v>0</v>
      </c>
      <c r="G96" s="28" t="s">
        <v>379</v>
      </c>
      <c r="H96" s="28" t="s">
        <v>380</v>
      </c>
      <c r="I96" s="30" t="s">
        <v>386</v>
      </c>
      <c r="J96" s="31">
        <v>44649</v>
      </c>
      <c r="K96" s="30">
        <v>1825</v>
      </c>
      <c r="L96" s="29">
        <v>775440867.03999996</v>
      </c>
      <c r="M96" s="31">
        <f t="shared" si="2"/>
        <v>46474</v>
      </c>
      <c r="N96" s="30">
        <v>0</v>
      </c>
      <c r="O96" s="29">
        <v>0</v>
      </c>
      <c r="P96" s="29">
        <f>76051312.02+34120415.88</f>
        <v>110171727.90000001</v>
      </c>
      <c r="Q96" s="30" t="s">
        <v>38</v>
      </c>
      <c r="R96" s="29">
        <f>189930542.58+43406484.22</f>
        <v>233337026.80000001</v>
      </c>
      <c r="S96" s="29">
        <v>43619668.240000002</v>
      </c>
      <c r="T96" s="29">
        <f t="shared" si="3"/>
        <v>43619668.240000002</v>
      </c>
      <c r="U96" s="29">
        <v>233337026.80000001</v>
      </c>
      <c r="V96" s="32" t="s">
        <v>39</v>
      </c>
    </row>
    <row r="97" spans="1:22" ht="33.75" x14ac:dyDescent="0.25">
      <c r="A97" s="28" t="s">
        <v>387</v>
      </c>
      <c r="B97" s="28" t="s">
        <v>388</v>
      </c>
      <c r="C97" s="28">
        <v>0</v>
      </c>
      <c r="D97" s="29">
        <v>0</v>
      </c>
      <c r="E97" s="29">
        <v>0</v>
      </c>
      <c r="F97" s="29">
        <v>0</v>
      </c>
      <c r="G97" s="28" t="s">
        <v>199</v>
      </c>
      <c r="H97" s="28" t="s">
        <v>200</v>
      </c>
      <c r="I97" s="30" t="s">
        <v>389</v>
      </c>
      <c r="J97" s="31">
        <v>45216</v>
      </c>
      <c r="K97" s="30">
        <v>365</v>
      </c>
      <c r="L97" s="29">
        <v>6315784.2300000004</v>
      </c>
      <c r="M97" s="31">
        <f t="shared" si="2"/>
        <v>45581</v>
      </c>
      <c r="N97" s="30">
        <v>0</v>
      </c>
      <c r="O97" s="29">
        <v>0</v>
      </c>
      <c r="P97" s="29">
        <v>0</v>
      </c>
      <c r="Q97" s="30" t="s">
        <v>38</v>
      </c>
      <c r="R97" s="29">
        <f>1221158.47</f>
        <v>1221158.47</v>
      </c>
      <c r="S97" s="29">
        <v>548883.77</v>
      </c>
      <c r="T97" s="29">
        <f t="shared" si="3"/>
        <v>548883.77</v>
      </c>
      <c r="U97" s="29">
        <v>548883.77</v>
      </c>
      <c r="V97" s="32" t="s">
        <v>39</v>
      </c>
    </row>
    <row r="98" spans="1:22" ht="45" x14ac:dyDescent="0.25">
      <c r="A98" s="28" t="s">
        <v>390</v>
      </c>
      <c r="B98" s="28" t="s">
        <v>391</v>
      </c>
      <c r="C98" s="28">
        <v>0</v>
      </c>
      <c r="D98" s="29">
        <v>0</v>
      </c>
      <c r="E98" s="29">
        <v>0</v>
      </c>
      <c r="F98" s="29">
        <v>0</v>
      </c>
      <c r="G98" s="28" t="s">
        <v>392</v>
      </c>
      <c r="H98" s="28" t="s">
        <v>393</v>
      </c>
      <c r="I98" s="30" t="s">
        <v>394</v>
      </c>
      <c r="J98" s="31">
        <v>44855</v>
      </c>
      <c r="K98" s="30">
        <v>820</v>
      </c>
      <c r="L98" s="29">
        <v>4513103.68</v>
      </c>
      <c r="M98" s="31">
        <f t="shared" si="2"/>
        <v>45675</v>
      </c>
      <c r="N98" s="30">
        <v>0</v>
      </c>
      <c r="O98" s="29">
        <v>0</v>
      </c>
      <c r="P98" s="29">
        <f>152939.19</f>
        <v>152939.19</v>
      </c>
      <c r="Q98" s="30" t="s">
        <v>38</v>
      </c>
      <c r="R98" s="29">
        <f>2302142.81+411609.98</f>
        <v>2713752.79</v>
      </c>
      <c r="S98" s="29">
        <v>532499.87</v>
      </c>
      <c r="T98" s="29">
        <f t="shared" si="3"/>
        <v>532499.87</v>
      </c>
      <c r="U98" s="29">
        <v>2687309.23</v>
      </c>
      <c r="V98" s="32" t="s">
        <v>39</v>
      </c>
    </row>
    <row r="99" spans="1:22" ht="56.25" x14ac:dyDescent="0.25">
      <c r="A99" s="28" t="s">
        <v>395</v>
      </c>
      <c r="B99" s="28" t="s">
        <v>396</v>
      </c>
      <c r="C99" s="28" t="s">
        <v>67</v>
      </c>
      <c r="D99" s="29" t="s">
        <v>68</v>
      </c>
      <c r="E99" s="29">
        <v>0</v>
      </c>
      <c r="F99" s="29">
        <v>0</v>
      </c>
      <c r="G99" s="28" t="s">
        <v>131</v>
      </c>
      <c r="H99" s="28" t="s">
        <v>132</v>
      </c>
      <c r="I99" s="30" t="s">
        <v>397</v>
      </c>
      <c r="J99" s="31">
        <v>45246</v>
      </c>
      <c r="K99" s="30">
        <v>210</v>
      </c>
      <c r="L99" s="29">
        <v>3520989</v>
      </c>
      <c r="M99" s="31">
        <f t="shared" si="2"/>
        <v>45456</v>
      </c>
      <c r="N99" s="30">
        <v>0</v>
      </c>
      <c r="O99" s="29">
        <f>785460</f>
        <v>785460</v>
      </c>
      <c r="P99" s="29">
        <v>0</v>
      </c>
      <c r="Q99" s="30" t="s">
        <v>58</v>
      </c>
      <c r="R99" s="29">
        <f>1745319.6+199997.84</f>
        <v>1945317.4400000002</v>
      </c>
      <c r="S99" s="29">
        <v>199997.84</v>
      </c>
      <c r="T99" s="29">
        <f t="shared" si="3"/>
        <v>199997.84</v>
      </c>
      <c r="U99" s="29">
        <v>1874346.08</v>
      </c>
      <c r="V99" s="32" t="s">
        <v>39</v>
      </c>
    </row>
    <row r="100" spans="1:22" ht="45" x14ac:dyDescent="0.25">
      <c r="A100" s="28" t="s">
        <v>398</v>
      </c>
      <c r="B100" s="28" t="s">
        <v>399</v>
      </c>
      <c r="C100" s="28" t="s">
        <v>400</v>
      </c>
      <c r="D100" s="29" t="s">
        <v>401</v>
      </c>
      <c r="E100" s="29">
        <v>45000000</v>
      </c>
      <c r="F100" s="29">
        <v>5000000</v>
      </c>
      <c r="G100" s="28" t="s">
        <v>62</v>
      </c>
      <c r="H100" s="28" t="s">
        <v>63</v>
      </c>
      <c r="I100" s="30" t="s">
        <v>402</v>
      </c>
      <c r="J100" s="31">
        <v>44861</v>
      </c>
      <c r="K100" s="30">
        <v>760</v>
      </c>
      <c r="L100" s="29">
        <v>35222846.310000002</v>
      </c>
      <c r="M100" s="31">
        <f t="shared" si="2"/>
        <v>45621</v>
      </c>
      <c r="N100" s="30">
        <v>0</v>
      </c>
      <c r="O100" s="29">
        <v>2847136.5</v>
      </c>
      <c r="P100" s="29">
        <v>1203191.8899999999</v>
      </c>
      <c r="Q100" s="30" t="s">
        <v>58</v>
      </c>
      <c r="R100" s="29">
        <f>16136922.38+1792024.17</f>
        <v>17928946.550000001</v>
      </c>
      <c r="S100" s="29">
        <v>1792024.17</v>
      </c>
      <c r="T100" s="29">
        <f t="shared" si="3"/>
        <v>1792024.17</v>
      </c>
      <c r="U100" s="29">
        <v>17928946.550000001</v>
      </c>
      <c r="V100" s="32" t="s">
        <v>39</v>
      </c>
    </row>
    <row r="101" spans="1:22" ht="56.25" x14ac:dyDescent="0.25">
      <c r="A101" s="28" t="s">
        <v>328</v>
      </c>
      <c r="B101" s="28" t="s">
        <v>403</v>
      </c>
      <c r="C101" s="28">
        <v>0</v>
      </c>
      <c r="D101" s="29">
        <v>0</v>
      </c>
      <c r="E101" s="29">
        <v>0</v>
      </c>
      <c r="F101" s="29">
        <v>0</v>
      </c>
      <c r="G101" s="28" t="s">
        <v>146</v>
      </c>
      <c r="H101" s="28" t="s">
        <v>147</v>
      </c>
      <c r="I101" s="30" t="s">
        <v>404</v>
      </c>
      <c r="J101" s="31">
        <v>45238</v>
      </c>
      <c r="K101" s="30">
        <v>760</v>
      </c>
      <c r="L101" s="29">
        <v>29276042.73</v>
      </c>
      <c r="M101" s="31">
        <f t="shared" si="2"/>
        <v>45998</v>
      </c>
      <c r="N101" s="30">
        <v>0</v>
      </c>
      <c r="O101" s="29">
        <v>0</v>
      </c>
      <c r="P101" s="29">
        <v>0</v>
      </c>
      <c r="Q101" s="30" t="s">
        <v>58</v>
      </c>
      <c r="R101" s="29">
        <f>302258.17</f>
        <v>302258.17</v>
      </c>
      <c r="S101" s="29">
        <v>302258.17</v>
      </c>
      <c r="T101" s="29">
        <f t="shared" si="3"/>
        <v>302258.17</v>
      </c>
      <c r="U101" s="29">
        <v>302258.17</v>
      </c>
      <c r="V101" s="32" t="s">
        <v>39</v>
      </c>
    </row>
    <row r="102" spans="1:22" ht="45" x14ac:dyDescent="0.25">
      <c r="A102" s="28" t="s">
        <v>398</v>
      </c>
      <c r="B102" s="28" t="s">
        <v>405</v>
      </c>
      <c r="C102" s="28" t="s">
        <v>400</v>
      </c>
      <c r="D102" s="29" t="s">
        <v>401</v>
      </c>
      <c r="E102" s="29">
        <v>45000000</v>
      </c>
      <c r="F102" s="29">
        <v>5000000</v>
      </c>
      <c r="G102" s="28" t="s">
        <v>35</v>
      </c>
      <c r="H102" s="28" t="s">
        <v>36</v>
      </c>
      <c r="I102" s="30" t="s">
        <v>406</v>
      </c>
      <c r="J102" s="31">
        <v>44861</v>
      </c>
      <c r="K102" s="30">
        <v>760</v>
      </c>
      <c r="L102" s="29">
        <v>37890417.210000001</v>
      </c>
      <c r="M102" s="31">
        <f t="shared" si="2"/>
        <v>45621</v>
      </c>
      <c r="N102" s="30">
        <v>0</v>
      </c>
      <c r="O102" s="29">
        <v>321603.59999999998</v>
      </c>
      <c r="P102" s="29">
        <v>1323428.1100000001</v>
      </c>
      <c r="Q102" s="30" t="s">
        <v>58</v>
      </c>
      <c r="R102" s="29">
        <v>17540278.09</v>
      </c>
      <c r="S102" s="29">
        <v>0</v>
      </c>
      <c r="T102" s="29">
        <f t="shared" si="3"/>
        <v>0</v>
      </c>
      <c r="U102" s="29">
        <v>17540277.689999998</v>
      </c>
      <c r="V102" s="32" t="s">
        <v>39</v>
      </c>
    </row>
    <row r="103" spans="1:22" ht="56.25" x14ac:dyDescent="0.25">
      <c r="A103" s="28" t="s">
        <v>407</v>
      </c>
      <c r="B103" s="28" t="s">
        <v>408</v>
      </c>
      <c r="C103" s="28" t="s">
        <v>67</v>
      </c>
      <c r="D103" s="29" t="s">
        <v>68</v>
      </c>
      <c r="E103" s="29">
        <v>0</v>
      </c>
      <c r="F103" s="29">
        <v>0</v>
      </c>
      <c r="G103" s="28" t="s">
        <v>269</v>
      </c>
      <c r="H103" s="28" t="s">
        <v>270</v>
      </c>
      <c r="I103" s="30" t="s">
        <v>409</v>
      </c>
      <c r="J103" s="31">
        <v>45258</v>
      </c>
      <c r="K103" s="30">
        <v>270</v>
      </c>
      <c r="L103" s="29">
        <v>4554739.29</v>
      </c>
      <c r="M103" s="31">
        <f t="shared" si="2"/>
        <v>45528</v>
      </c>
      <c r="N103" s="30">
        <v>0</v>
      </c>
      <c r="O103" s="29">
        <v>0</v>
      </c>
      <c r="P103" s="29">
        <v>0</v>
      </c>
      <c r="Q103" s="30" t="s">
        <v>58</v>
      </c>
      <c r="R103" s="29">
        <f>898710.06</f>
        <v>898710.06</v>
      </c>
      <c r="S103" s="29">
        <v>823261.75999999989</v>
      </c>
      <c r="T103" s="29">
        <f t="shared" si="3"/>
        <v>823261.75999999989</v>
      </c>
      <c r="U103" s="29">
        <v>823261.75999999989</v>
      </c>
      <c r="V103" s="32" t="s">
        <v>39</v>
      </c>
    </row>
    <row r="104" spans="1:22" ht="45" x14ac:dyDescent="0.25">
      <c r="A104" s="28" t="s">
        <v>398</v>
      </c>
      <c r="B104" s="28" t="s">
        <v>410</v>
      </c>
      <c r="C104" s="28" t="s">
        <v>400</v>
      </c>
      <c r="D104" s="29" t="s">
        <v>401</v>
      </c>
      <c r="E104" s="29">
        <v>45000000</v>
      </c>
      <c r="F104" s="29">
        <v>5000000</v>
      </c>
      <c r="G104" s="28" t="s">
        <v>411</v>
      </c>
      <c r="H104" s="28" t="s">
        <v>412</v>
      </c>
      <c r="I104" s="30" t="s">
        <v>413</v>
      </c>
      <c r="J104" s="31">
        <v>44861</v>
      </c>
      <c r="K104" s="30">
        <v>760</v>
      </c>
      <c r="L104" s="29">
        <v>52662087.729999997</v>
      </c>
      <c r="M104" s="31">
        <f t="shared" si="2"/>
        <v>45621</v>
      </c>
      <c r="N104" s="30">
        <v>0</v>
      </c>
      <c r="O104" s="29">
        <f>5199287.4</f>
        <v>5199287.4000000004</v>
      </c>
      <c r="P104" s="29">
        <v>0</v>
      </c>
      <c r="Q104" s="30" t="s">
        <v>58</v>
      </c>
      <c r="R104" s="29">
        <f>20137085.6+869701.71</f>
        <v>21006787.310000002</v>
      </c>
      <c r="S104" s="29"/>
      <c r="T104" s="29">
        <f t="shared" si="3"/>
        <v>0</v>
      </c>
      <c r="U104" s="29">
        <v>20063593.629999999</v>
      </c>
      <c r="V104" s="32" t="s">
        <v>39</v>
      </c>
    </row>
    <row r="105" spans="1:22" ht="56.25" x14ac:dyDescent="0.25">
      <c r="A105" s="28" t="s">
        <v>414</v>
      </c>
      <c r="B105" s="28" t="s">
        <v>415</v>
      </c>
      <c r="C105" s="28">
        <v>0</v>
      </c>
      <c r="D105" s="29">
        <v>0</v>
      </c>
      <c r="E105" s="29">
        <v>0</v>
      </c>
      <c r="F105" s="29">
        <v>0</v>
      </c>
      <c r="G105" s="28" t="s">
        <v>301</v>
      </c>
      <c r="H105" s="28" t="s">
        <v>302</v>
      </c>
      <c r="I105" s="30" t="s">
        <v>416</v>
      </c>
      <c r="J105" s="31">
        <v>45260</v>
      </c>
      <c r="K105" s="30">
        <v>210</v>
      </c>
      <c r="L105" s="29">
        <v>1386439.44</v>
      </c>
      <c r="M105" s="31">
        <f t="shared" si="2"/>
        <v>45470</v>
      </c>
      <c r="N105" s="30">
        <v>0</v>
      </c>
      <c r="O105" s="29">
        <v>0</v>
      </c>
      <c r="P105" s="29">
        <v>0</v>
      </c>
      <c r="Q105" s="30" t="s">
        <v>58</v>
      </c>
      <c r="R105" s="29">
        <f>37651.91+23427.37</f>
        <v>61079.28</v>
      </c>
      <c r="S105" s="29">
        <v>61079.28</v>
      </c>
      <c r="T105" s="29">
        <f t="shared" si="3"/>
        <v>61079.28</v>
      </c>
      <c r="U105" s="29">
        <v>61079.28</v>
      </c>
      <c r="V105" s="32" t="s">
        <v>39</v>
      </c>
    </row>
    <row r="106" spans="1:22" ht="45" x14ac:dyDescent="0.25">
      <c r="A106" s="28" t="s">
        <v>398</v>
      </c>
      <c r="B106" s="28" t="s">
        <v>417</v>
      </c>
      <c r="C106" s="28" t="s">
        <v>400</v>
      </c>
      <c r="D106" s="29" t="s">
        <v>401</v>
      </c>
      <c r="E106" s="29">
        <v>45000000</v>
      </c>
      <c r="F106" s="29">
        <v>5000000</v>
      </c>
      <c r="G106" s="28" t="s">
        <v>62</v>
      </c>
      <c r="H106" s="28" t="s">
        <v>63</v>
      </c>
      <c r="I106" s="30" t="s">
        <v>418</v>
      </c>
      <c r="J106" s="31">
        <v>44861</v>
      </c>
      <c r="K106" s="30">
        <v>760</v>
      </c>
      <c r="L106" s="29">
        <v>51009419.109999999</v>
      </c>
      <c r="M106" s="31">
        <f t="shared" si="2"/>
        <v>45621</v>
      </c>
      <c r="N106" s="30">
        <v>0</v>
      </c>
      <c r="O106" s="29">
        <v>0</v>
      </c>
      <c r="P106" s="29">
        <v>1742220.18</v>
      </c>
      <c r="Q106" s="30" t="s">
        <v>58</v>
      </c>
      <c r="R106" s="29">
        <f>14733036.4+46866.51</f>
        <v>14779902.91</v>
      </c>
      <c r="S106" s="29">
        <v>46866.51</v>
      </c>
      <c r="T106" s="29">
        <f t="shared" si="3"/>
        <v>46866.51</v>
      </c>
      <c r="U106" s="29">
        <v>14779902.910000002</v>
      </c>
      <c r="V106" s="32" t="s">
        <v>39</v>
      </c>
    </row>
    <row r="107" spans="1:22" ht="33.75" x14ac:dyDescent="0.25">
      <c r="A107" s="28" t="s">
        <v>419</v>
      </c>
      <c r="B107" s="28" t="s">
        <v>420</v>
      </c>
      <c r="C107" s="28">
        <v>0</v>
      </c>
      <c r="D107" s="29">
        <v>0</v>
      </c>
      <c r="E107" s="29">
        <v>0</v>
      </c>
      <c r="F107" s="29">
        <v>0</v>
      </c>
      <c r="G107" s="28" t="s">
        <v>141</v>
      </c>
      <c r="H107" s="28" t="s">
        <v>142</v>
      </c>
      <c r="I107" s="30" t="s">
        <v>421</v>
      </c>
      <c r="J107" s="31">
        <v>44869</v>
      </c>
      <c r="K107" s="30">
        <v>790</v>
      </c>
      <c r="L107" s="29">
        <v>3957846.15</v>
      </c>
      <c r="M107" s="31">
        <f t="shared" si="2"/>
        <v>45659</v>
      </c>
      <c r="N107" s="30">
        <v>0</v>
      </c>
      <c r="O107" s="29">
        <v>41386.65</v>
      </c>
      <c r="P107" s="29">
        <f>124052.67</f>
        <v>124052.67</v>
      </c>
      <c r="Q107" s="30" t="s">
        <v>38</v>
      </c>
      <c r="R107" s="29">
        <f>1497570.72+217981.91</f>
        <v>1715552.63</v>
      </c>
      <c r="S107" s="29">
        <v>277097.63</v>
      </c>
      <c r="T107" s="29">
        <f t="shared" si="3"/>
        <v>277097.63</v>
      </c>
      <c r="U107" s="29">
        <v>1712034.81</v>
      </c>
      <c r="V107" s="32" t="s">
        <v>39</v>
      </c>
    </row>
    <row r="108" spans="1:22" ht="33.75" x14ac:dyDescent="0.25">
      <c r="A108" s="28" t="s">
        <v>422</v>
      </c>
      <c r="B108" s="28" t="s">
        <v>423</v>
      </c>
      <c r="C108" s="28">
        <v>0</v>
      </c>
      <c r="D108" s="29">
        <v>0</v>
      </c>
      <c r="E108" s="29">
        <v>0</v>
      </c>
      <c r="F108" s="29">
        <v>0</v>
      </c>
      <c r="G108" s="28" t="s">
        <v>177</v>
      </c>
      <c r="H108" s="28" t="s">
        <v>178</v>
      </c>
      <c r="I108" s="30" t="s">
        <v>424</v>
      </c>
      <c r="J108" s="31">
        <v>44896</v>
      </c>
      <c r="K108" s="30">
        <v>790</v>
      </c>
      <c r="L108" s="29">
        <v>1292921.04</v>
      </c>
      <c r="M108" s="31">
        <f t="shared" si="2"/>
        <v>45686</v>
      </c>
      <c r="N108" s="30">
        <v>0</v>
      </c>
      <c r="O108" s="29">
        <v>198732.58</v>
      </c>
      <c r="P108" s="29">
        <v>0</v>
      </c>
      <c r="Q108" s="30" t="s">
        <v>38</v>
      </c>
      <c r="R108" s="29">
        <f>1029721.98+106406.58</f>
        <v>1136128.56</v>
      </c>
      <c r="S108" s="29">
        <v>146226.79999999999</v>
      </c>
      <c r="T108" s="29">
        <f t="shared" si="3"/>
        <v>146226.79999999999</v>
      </c>
      <c r="U108" s="29">
        <v>1136128.56</v>
      </c>
      <c r="V108" s="32" t="s">
        <v>39</v>
      </c>
    </row>
    <row r="109" spans="1:22" ht="45" x14ac:dyDescent="0.25">
      <c r="A109" s="28" t="s">
        <v>425</v>
      </c>
      <c r="B109" s="28" t="s">
        <v>426</v>
      </c>
      <c r="C109" s="28" t="s">
        <v>67</v>
      </c>
      <c r="D109" s="29" t="s">
        <v>68</v>
      </c>
      <c r="E109" s="29">
        <v>0</v>
      </c>
      <c r="F109" s="29">
        <v>0</v>
      </c>
      <c r="G109" s="28" t="s">
        <v>131</v>
      </c>
      <c r="H109" s="28" t="s">
        <v>132</v>
      </c>
      <c r="I109" s="30" t="s">
        <v>427</v>
      </c>
      <c r="J109" s="31">
        <v>45260</v>
      </c>
      <c r="K109" s="30">
        <v>180</v>
      </c>
      <c r="L109" s="29">
        <v>2319219.36</v>
      </c>
      <c r="M109" s="31">
        <f t="shared" si="2"/>
        <v>45440</v>
      </c>
      <c r="N109" s="30">
        <v>0</v>
      </c>
      <c r="O109" s="29">
        <v>0</v>
      </c>
      <c r="P109" s="29">
        <v>0</v>
      </c>
      <c r="Q109" s="30" t="s">
        <v>58</v>
      </c>
      <c r="R109" s="29">
        <f>133427.2+1066168.14</f>
        <v>1199595.3399999999</v>
      </c>
      <c r="S109" s="29">
        <v>1066168.1399999999</v>
      </c>
      <c r="T109" s="29">
        <f t="shared" si="3"/>
        <v>1066168.1399999999</v>
      </c>
      <c r="U109" s="29">
        <v>1199595.3399999999</v>
      </c>
      <c r="V109" s="32" t="s">
        <v>39</v>
      </c>
    </row>
    <row r="110" spans="1:22" ht="45" x14ac:dyDescent="0.25">
      <c r="A110" s="28" t="s">
        <v>428</v>
      </c>
      <c r="B110" s="28" t="s">
        <v>429</v>
      </c>
      <c r="C110" s="28" t="s">
        <v>67</v>
      </c>
      <c r="D110" s="29" t="s">
        <v>68</v>
      </c>
      <c r="E110" s="29">
        <v>0</v>
      </c>
      <c r="F110" s="29">
        <v>0</v>
      </c>
      <c r="G110" s="28" t="s">
        <v>172</v>
      </c>
      <c r="H110" s="28" t="s">
        <v>173</v>
      </c>
      <c r="I110" s="30" t="s">
        <v>430</v>
      </c>
      <c r="J110" s="31">
        <v>44910</v>
      </c>
      <c r="K110" s="30">
        <v>645</v>
      </c>
      <c r="L110" s="29">
        <v>10636776.85</v>
      </c>
      <c r="M110" s="31">
        <f t="shared" si="2"/>
        <v>45555</v>
      </c>
      <c r="N110" s="30">
        <v>0</v>
      </c>
      <c r="O110" s="29">
        <f>1764049.88</f>
        <v>1764049.88</v>
      </c>
      <c r="P110" s="29">
        <v>-503261.39</v>
      </c>
      <c r="Q110" s="30" t="s">
        <v>58</v>
      </c>
      <c r="R110" s="29">
        <f>4292857.81+1798957.81</f>
        <v>6091815.6199999992</v>
      </c>
      <c r="S110" s="29">
        <v>1438314.7799999998</v>
      </c>
      <c r="T110" s="29">
        <f t="shared" si="3"/>
        <v>1438314.7799999998</v>
      </c>
      <c r="U110" s="29">
        <v>5731172.5899999999</v>
      </c>
      <c r="V110" s="32" t="s">
        <v>39</v>
      </c>
    </row>
    <row r="111" spans="1:22" ht="33.75" x14ac:dyDescent="0.25">
      <c r="A111" s="28" t="s">
        <v>431</v>
      </c>
      <c r="B111" s="28" t="s">
        <v>432</v>
      </c>
      <c r="C111" s="28">
        <v>0</v>
      </c>
      <c r="D111" s="29">
        <v>0</v>
      </c>
      <c r="E111" s="29">
        <v>0</v>
      </c>
      <c r="F111" s="29">
        <v>0</v>
      </c>
      <c r="G111" s="28" t="s">
        <v>433</v>
      </c>
      <c r="H111" s="28" t="s">
        <v>434</v>
      </c>
      <c r="I111" s="30" t="s">
        <v>435</v>
      </c>
      <c r="J111" s="31">
        <v>45273</v>
      </c>
      <c r="K111" s="30">
        <v>1155</v>
      </c>
      <c r="L111" s="29">
        <v>5749498.3099999996</v>
      </c>
      <c r="M111" s="31">
        <f t="shared" si="2"/>
        <v>46428</v>
      </c>
      <c r="N111" s="30">
        <v>0</v>
      </c>
      <c r="O111" s="29">
        <v>0</v>
      </c>
      <c r="P111" s="29">
        <v>0</v>
      </c>
      <c r="Q111" s="30" t="s">
        <v>38</v>
      </c>
      <c r="R111" s="29">
        <f>78301.5</f>
        <v>78301.5</v>
      </c>
      <c r="S111" s="29">
        <v>0</v>
      </c>
      <c r="T111" s="29">
        <f t="shared" si="3"/>
        <v>0</v>
      </c>
      <c r="U111" s="29">
        <v>0</v>
      </c>
      <c r="V111" s="32" t="s">
        <v>39</v>
      </c>
    </row>
    <row r="112" spans="1:22" ht="67.5" x14ac:dyDescent="0.25">
      <c r="A112" s="28" t="s">
        <v>436</v>
      </c>
      <c r="B112" s="28" t="s">
        <v>437</v>
      </c>
      <c r="C112" s="28">
        <v>0</v>
      </c>
      <c r="D112" s="29">
        <v>0</v>
      </c>
      <c r="E112" s="29">
        <v>0</v>
      </c>
      <c r="F112" s="29">
        <v>0</v>
      </c>
      <c r="G112" s="28" t="s">
        <v>48</v>
      </c>
      <c r="H112" s="28" t="s">
        <v>49</v>
      </c>
      <c r="I112" s="30" t="s">
        <v>438</v>
      </c>
      <c r="J112" s="31">
        <v>44916</v>
      </c>
      <c r="K112" s="30">
        <v>790</v>
      </c>
      <c r="L112" s="29">
        <v>12692831.300000001</v>
      </c>
      <c r="M112" s="31">
        <f t="shared" si="2"/>
        <v>45706</v>
      </c>
      <c r="N112" s="30">
        <v>0</v>
      </c>
      <c r="O112" s="29">
        <v>0</v>
      </c>
      <c r="P112" s="29">
        <v>447358.2</v>
      </c>
      <c r="Q112" s="30" t="s">
        <v>58</v>
      </c>
      <c r="R112" s="29">
        <f>7221714.84+962415.13</f>
        <v>8184129.9699999997</v>
      </c>
      <c r="S112" s="29">
        <v>1715489.25</v>
      </c>
      <c r="T112" s="29">
        <f t="shared" si="3"/>
        <v>1715489.25</v>
      </c>
      <c r="U112" s="29">
        <v>8112258.5599999996</v>
      </c>
      <c r="V112" s="32" t="s">
        <v>39</v>
      </c>
    </row>
    <row r="113" spans="1:22" ht="56.25" x14ac:dyDescent="0.25">
      <c r="A113" s="28" t="s">
        <v>439</v>
      </c>
      <c r="B113" s="28" t="s">
        <v>440</v>
      </c>
      <c r="C113" s="28" t="s">
        <v>67</v>
      </c>
      <c r="D113" s="29" t="s">
        <v>68</v>
      </c>
      <c r="E113" s="29">
        <v>0</v>
      </c>
      <c r="F113" s="29">
        <v>0</v>
      </c>
      <c r="G113" s="28" t="s">
        <v>69</v>
      </c>
      <c r="H113" s="28" t="s">
        <v>70</v>
      </c>
      <c r="I113" s="30" t="s">
        <v>441</v>
      </c>
      <c r="J113" s="31">
        <v>45275</v>
      </c>
      <c r="K113" s="30">
        <v>270</v>
      </c>
      <c r="L113" s="29">
        <v>5620447.9500000002</v>
      </c>
      <c r="M113" s="31">
        <f t="shared" si="2"/>
        <v>45545</v>
      </c>
      <c r="N113" s="30">
        <v>0</v>
      </c>
      <c r="O113" s="29">
        <v>0</v>
      </c>
      <c r="P113" s="29">
        <v>0</v>
      </c>
      <c r="Q113" s="30" t="s">
        <v>58</v>
      </c>
      <c r="R113" s="29">
        <v>0</v>
      </c>
      <c r="S113" s="29"/>
      <c r="T113" s="29">
        <f t="shared" si="3"/>
        <v>0</v>
      </c>
      <c r="U113" s="29">
        <v>0</v>
      </c>
      <c r="V113" s="32" t="s">
        <v>39</v>
      </c>
    </row>
    <row r="114" spans="1:22" ht="33.75" x14ac:dyDescent="0.25">
      <c r="A114" s="28" t="s">
        <v>442</v>
      </c>
      <c r="B114" s="28" t="s">
        <v>443</v>
      </c>
      <c r="C114" s="28">
        <v>0</v>
      </c>
      <c r="D114" s="29">
        <v>0</v>
      </c>
      <c r="E114" s="29">
        <v>0</v>
      </c>
      <c r="F114" s="29">
        <v>0</v>
      </c>
      <c r="G114" s="28" t="s">
        <v>120</v>
      </c>
      <c r="H114" s="28" t="s">
        <v>121</v>
      </c>
      <c r="I114" s="30" t="s">
        <v>444</v>
      </c>
      <c r="J114" s="31">
        <v>44916</v>
      </c>
      <c r="K114" s="30">
        <v>790</v>
      </c>
      <c r="L114" s="29">
        <v>1116122.19</v>
      </c>
      <c r="M114" s="31">
        <f t="shared" si="2"/>
        <v>45706</v>
      </c>
      <c r="N114" s="30">
        <v>0</v>
      </c>
      <c r="O114" s="29">
        <v>0</v>
      </c>
      <c r="P114" s="29">
        <v>0</v>
      </c>
      <c r="Q114" s="30" t="s">
        <v>38</v>
      </c>
      <c r="R114" s="29">
        <v>702441.4</v>
      </c>
      <c r="S114" s="29">
        <v>97067.28</v>
      </c>
      <c r="T114" s="29">
        <f t="shared" si="3"/>
        <v>97067.28</v>
      </c>
      <c r="U114" s="29">
        <v>702441.4</v>
      </c>
      <c r="V114" s="32" t="s">
        <v>39</v>
      </c>
    </row>
    <row r="115" spans="1:22" ht="33.75" x14ac:dyDescent="0.25">
      <c r="A115" s="28" t="s">
        <v>445</v>
      </c>
      <c r="B115" s="28" t="s">
        <v>446</v>
      </c>
      <c r="C115" s="28">
        <v>0</v>
      </c>
      <c r="D115" s="29">
        <v>0</v>
      </c>
      <c r="E115" s="29">
        <v>0</v>
      </c>
      <c r="F115" s="29">
        <v>0</v>
      </c>
      <c r="G115" s="28" t="s">
        <v>259</v>
      </c>
      <c r="H115" s="28" t="s">
        <v>260</v>
      </c>
      <c r="I115" s="30" t="s">
        <v>447</v>
      </c>
      <c r="J115" s="31">
        <v>45264</v>
      </c>
      <c r="K115" s="30">
        <v>790</v>
      </c>
      <c r="L115" s="29">
        <v>14874758.91</v>
      </c>
      <c r="M115" s="31">
        <f t="shared" si="2"/>
        <v>46054</v>
      </c>
      <c r="N115" s="30">
        <v>0</v>
      </c>
      <c r="O115" s="29">
        <v>0</v>
      </c>
      <c r="P115" s="29">
        <v>0</v>
      </c>
      <c r="Q115" s="30" t="s">
        <v>38</v>
      </c>
      <c r="R115" s="29">
        <f>178498.11+468580.53</f>
        <v>647078.64</v>
      </c>
      <c r="S115" s="29">
        <v>647078.64</v>
      </c>
      <c r="T115" s="29">
        <f t="shared" si="3"/>
        <v>647078.64</v>
      </c>
      <c r="U115" s="29">
        <v>647078.64</v>
      </c>
      <c r="V115" s="32" t="s">
        <v>39</v>
      </c>
    </row>
    <row r="116" spans="1:22" ht="33.75" x14ac:dyDescent="0.25">
      <c r="A116" s="28" t="s">
        <v>445</v>
      </c>
      <c r="B116" s="28" t="s">
        <v>448</v>
      </c>
      <c r="C116" s="28">
        <v>0</v>
      </c>
      <c r="D116" s="29">
        <v>0</v>
      </c>
      <c r="E116" s="29">
        <v>0</v>
      </c>
      <c r="F116" s="29">
        <v>0</v>
      </c>
      <c r="G116" s="28" t="s">
        <v>259</v>
      </c>
      <c r="H116" s="28" t="s">
        <v>260</v>
      </c>
      <c r="I116" s="30" t="s">
        <v>449</v>
      </c>
      <c r="J116" s="31">
        <v>45264</v>
      </c>
      <c r="K116" s="30">
        <v>790</v>
      </c>
      <c r="L116" s="29">
        <v>13262771.15</v>
      </c>
      <c r="M116" s="31">
        <f t="shared" si="2"/>
        <v>46054</v>
      </c>
      <c r="N116" s="30">
        <v>0</v>
      </c>
      <c r="O116" s="29">
        <v>0</v>
      </c>
      <c r="P116" s="29">
        <v>0</v>
      </c>
      <c r="Q116" s="30" t="s">
        <v>38</v>
      </c>
      <c r="R116" s="29">
        <f>169840.72+475915.93</f>
        <v>645756.65</v>
      </c>
      <c r="S116" s="29">
        <v>645756.64999999991</v>
      </c>
      <c r="T116" s="29">
        <f t="shared" si="3"/>
        <v>645756.64999999991</v>
      </c>
      <c r="U116" s="29">
        <v>645756.64999999991</v>
      </c>
      <c r="V116" s="32" t="s">
        <v>39</v>
      </c>
    </row>
    <row r="117" spans="1:22" ht="22.5" x14ac:dyDescent="0.25">
      <c r="A117" s="28" t="s">
        <v>450</v>
      </c>
      <c r="B117" s="28" t="s">
        <v>451</v>
      </c>
      <c r="C117" s="28" t="s">
        <v>67</v>
      </c>
      <c r="D117" s="29" t="s">
        <v>68</v>
      </c>
      <c r="E117" s="29">
        <v>0</v>
      </c>
      <c r="F117" s="29">
        <v>0</v>
      </c>
      <c r="G117" s="28" t="s">
        <v>131</v>
      </c>
      <c r="H117" s="28" t="s">
        <v>132</v>
      </c>
      <c r="I117" s="30" t="s">
        <v>452</v>
      </c>
      <c r="J117" s="31">
        <v>45265</v>
      </c>
      <c r="K117" s="30">
        <v>210</v>
      </c>
      <c r="L117" s="29">
        <v>8496161.7599999998</v>
      </c>
      <c r="M117" s="31">
        <f t="shared" si="2"/>
        <v>45475</v>
      </c>
      <c r="N117" s="30">
        <v>0</v>
      </c>
      <c r="O117" s="29">
        <v>0</v>
      </c>
      <c r="P117" s="29">
        <v>0</v>
      </c>
      <c r="Q117" s="30" t="s">
        <v>58</v>
      </c>
      <c r="R117" s="29">
        <f>599611.27+1991611.84</f>
        <v>2591223.1100000003</v>
      </c>
      <c r="S117" s="29">
        <v>2591223.11</v>
      </c>
      <c r="T117" s="29">
        <f t="shared" si="3"/>
        <v>2591223.11</v>
      </c>
      <c r="U117" s="29">
        <v>2591223.11</v>
      </c>
      <c r="V117" s="32" t="s">
        <v>39</v>
      </c>
    </row>
    <row r="118" spans="1:22" ht="56.25" x14ac:dyDescent="0.25">
      <c r="A118" s="28" t="s">
        <v>453</v>
      </c>
      <c r="B118" s="28" t="s">
        <v>454</v>
      </c>
      <c r="C118" s="28">
        <v>0</v>
      </c>
      <c r="D118" s="29">
        <v>0</v>
      </c>
      <c r="E118" s="29">
        <v>0</v>
      </c>
      <c r="F118" s="29">
        <v>0</v>
      </c>
      <c r="G118" s="28" t="s">
        <v>455</v>
      </c>
      <c r="H118" s="28" t="s">
        <v>456</v>
      </c>
      <c r="I118" s="30" t="s">
        <v>457</v>
      </c>
      <c r="J118" s="31">
        <v>45261</v>
      </c>
      <c r="K118" s="30">
        <v>365</v>
      </c>
      <c r="L118" s="29">
        <v>32777137.780000001</v>
      </c>
      <c r="M118" s="31">
        <f t="shared" si="2"/>
        <v>45626</v>
      </c>
      <c r="N118" s="30">
        <v>0</v>
      </c>
      <c r="O118" s="29">
        <f>3952148.11</f>
        <v>3952148.11</v>
      </c>
      <c r="P118" s="29">
        <v>0</v>
      </c>
      <c r="Q118" s="30" t="s">
        <v>38</v>
      </c>
      <c r="R118" s="29">
        <f>1116826.5+4986483.75</f>
        <v>6103310.25</v>
      </c>
      <c r="S118" s="29">
        <v>1806045.67</v>
      </c>
      <c r="T118" s="29">
        <f t="shared" si="3"/>
        <v>1806045.67</v>
      </c>
      <c r="U118" s="29">
        <v>2360402.69</v>
      </c>
      <c r="V118" s="32" t="s">
        <v>39</v>
      </c>
    </row>
    <row r="119" spans="1:22" ht="56.25" x14ac:dyDescent="0.25">
      <c r="A119" s="28" t="s">
        <v>453</v>
      </c>
      <c r="B119" s="28" t="s">
        <v>458</v>
      </c>
      <c r="C119" s="28">
        <v>0</v>
      </c>
      <c r="D119" s="29">
        <v>0</v>
      </c>
      <c r="E119" s="29">
        <v>0</v>
      </c>
      <c r="F119" s="29">
        <v>0</v>
      </c>
      <c r="G119" s="28" t="s">
        <v>151</v>
      </c>
      <c r="H119" s="28" t="s">
        <v>152</v>
      </c>
      <c r="I119" s="30" t="s">
        <v>459</v>
      </c>
      <c r="J119" s="31">
        <v>45267</v>
      </c>
      <c r="K119" s="30">
        <v>365</v>
      </c>
      <c r="L119" s="29">
        <v>35817540.25</v>
      </c>
      <c r="M119" s="31">
        <f t="shared" si="2"/>
        <v>45632</v>
      </c>
      <c r="N119" s="30">
        <v>0</v>
      </c>
      <c r="O119" s="29">
        <v>0</v>
      </c>
      <c r="P119" s="29">
        <v>0</v>
      </c>
      <c r="Q119" s="30" t="s">
        <v>38</v>
      </c>
      <c r="R119" s="29">
        <f>832286.1</f>
        <v>832286.1</v>
      </c>
      <c r="S119" s="29">
        <v>484214.38</v>
      </c>
      <c r="T119" s="29">
        <f t="shared" si="3"/>
        <v>484214.38</v>
      </c>
      <c r="U119" s="29">
        <v>484214.38</v>
      </c>
      <c r="V119" s="32" t="s">
        <v>39</v>
      </c>
    </row>
    <row r="120" spans="1:22" ht="56.25" x14ac:dyDescent="0.25">
      <c r="A120" s="28" t="s">
        <v>453</v>
      </c>
      <c r="B120" s="28" t="s">
        <v>460</v>
      </c>
      <c r="C120" s="28">
        <v>0</v>
      </c>
      <c r="D120" s="29">
        <v>0</v>
      </c>
      <c r="E120" s="29">
        <v>0</v>
      </c>
      <c r="F120" s="29">
        <v>0</v>
      </c>
      <c r="G120" s="28" t="s">
        <v>461</v>
      </c>
      <c r="H120" s="28" t="s">
        <v>462</v>
      </c>
      <c r="I120" s="30" t="s">
        <v>463</v>
      </c>
      <c r="J120" s="31">
        <v>45268</v>
      </c>
      <c r="K120" s="30">
        <v>365</v>
      </c>
      <c r="L120" s="29">
        <v>37427567.520000003</v>
      </c>
      <c r="M120" s="31">
        <f t="shared" si="2"/>
        <v>45633</v>
      </c>
      <c r="N120" s="30">
        <v>0</v>
      </c>
      <c r="O120" s="29">
        <v>0</v>
      </c>
      <c r="P120" s="29">
        <v>0</v>
      </c>
      <c r="Q120" s="30" t="s">
        <v>38</v>
      </c>
      <c r="R120" s="29">
        <f>852575.69</f>
        <v>852575.69</v>
      </c>
      <c r="S120" s="29">
        <v>852575.69</v>
      </c>
      <c r="T120" s="29">
        <f t="shared" si="3"/>
        <v>852575.69</v>
      </c>
      <c r="U120" s="29">
        <v>852575.69</v>
      </c>
      <c r="V120" s="32" t="s">
        <v>39</v>
      </c>
    </row>
    <row r="121" spans="1:22" ht="56.25" x14ac:dyDescent="0.25">
      <c r="A121" s="28" t="s">
        <v>453</v>
      </c>
      <c r="B121" s="28" t="s">
        <v>464</v>
      </c>
      <c r="C121" s="28">
        <v>0</v>
      </c>
      <c r="D121" s="29">
        <v>0</v>
      </c>
      <c r="E121" s="29">
        <v>0</v>
      </c>
      <c r="F121" s="29">
        <v>0</v>
      </c>
      <c r="G121" s="28" t="s">
        <v>62</v>
      </c>
      <c r="H121" s="28" t="s">
        <v>63</v>
      </c>
      <c r="I121" s="30" t="s">
        <v>465</v>
      </c>
      <c r="J121" s="31">
        <v>45271</v>
      </c>
      <c r="K121" s="30">
        <v>365</v>
      </c>
      <c r="L121" s="29">
        <v>32379678.760000002</v>
      </c>
      <c r="M121" s="31">
        <f t="shared" si="2"/>
        <v>45636</v>
      </c>
      <c r="N121" s="30">
        <v>0</v>
      </c>
      <c r="O121" s="29">
        <f>546977.2</f>
        <v>546977.19999999995</v>
      </c>
      <c r="P121" s="29">
        <v>0</v>
      </c>
      <c r="Q121" s="30" t="s">
        <v>38</v>
      </c>
      <c r="R121" s="29">
        <f>2772623.66</f>
        <v>2772623.66</v>
      </c>
      <c r="S121" s="29">
        <v>2772623.66</v>
      </c>
      <c r="T121" s="29">
        <f t="shared" si="3"/>
        <v>2772623.66</v>
      </c>
      <c r="U121" s="29">
        <v>2772623.66</v>
      </c>
      <c r="V121" s="32" t="s">
        <v>39</v>
      </c>
    </row>
    <row r="122" spans="1:22" ht="56.25" x14ac:dyDescent="0.25">
      <c r="A122" s="28" t="s">
        <v>466</v>
      </c>
      <c r="B122" s="28" t="s">
        <v>467</v>
      </c>
      <c r="C122" s="28" t="s">
        <v>67</v>
      </c>
      <c r="D122" s="29" t="s">
        <v>68</v>
      </c>
      <c r="E122" s="29">
        <v>0</v>
      </c>
      <c r="F122" s="29">
        <v>0</v>
      </c>
      <c r="G122" s="28" t="s">
        <v>136</v>
      </c>
      <c r="H122" s="28" t="s">
        <v>137</v>
      </c>
      <c r="I122" s="30" t="s">
        <v>468</v>
      </c>
      <c r="J122" s="31">
        <v>45275</v>
      </c>
      <c r="K122" s="30">
        <v>240</v>
      </c>
      <c r="L122" s="29">
        <v>1523493.08</v>
      </c>
      <c r="M122" s="31">
        <f t="shared" si="2"/>
        <v>45515</v>
      </c>
      <c r="N122" s="30">
        <v>0</v>
      </c>
      <c r="O122" s="29">
        <v>0</v>
      </c>
      <c r="P122" s="29">
        <v>0</v>
      </c>
      <c r="Q122" s="30" t="s">
        <v>58</v>
      </c>
      <c r="R122" s="29">
        <f>228701.38</f>
        <v>228701.38</v>
      </c>
      <c r="S122" s="29"/>
      <c r="T122" s="29">
        <f t="shared" si="3"/>
        <v>0</v>
      </c>
      <c r="U122" s="29">
        <v>0</v>
      </c>
      <c r="V122" s="32" t="s">
        <v>39</v>
      </c>
    </row>
    <row r="123" spans="1:22" ht="33.75" x14ac:dyDescent="0.25">
      <c r="A123" s="28" t="s">
        <v>469</v>
      </c>
      <c r="B123" s="28" t="s">
        <v>470</v>
      </c>
      <c r="C123" s="28" t="s">
        <v>67</v>
      </c>
      <c r="D123" s="29" t="s">
        <v>68</v>
      </c>
      <c r="E123" s="29">
        <v>0</v>
      </c>
      <c r="F123" s="29">
        <v>0</v>
      </c>
      <c r="G123" s="28" t="s">
        <v>471</v>
      </c>
      <c r="H123" s="28" t="s">
        <v>472</v>
      </c>
      <c r="I123" s="30" t="s">
        <v>473</v>
      </c>
      <c r="J123" s="31">
        <v>45287</v>
      </c>
      <c r="K123" s="30">
        <v>270</v>
      </c>
      <c r="L123" s="29">
        <v>911042.96</v>
      </c>
      <c r="M123" s="31">
        <f t="shared" si="2"/>
        <v>45557</v>
      </c>
      <c r="N123" s="30">
        <v>0</v>
      </c>
      <c r="O123" s="29">
        <v>0</v>
      </c>
      <c r="P123" s="29">
        <v>0</v>
      </c>
      <c r="Q123" s="30" t="s">
        <v>58</v>
      </c>
      <c r="R123" s="29">
        <v>0</v>
      </c>
      <c r="S123" s="29">
        <v>0</v>
      </c>
      <c r="T123" s="29">
        <f t="shared" si="3"/>
        <v>0</v>
      </c>
      <c r="U123" s="29">
        <v>0</v>
      </c>
      <c r="V123" s="32" t="s">
        <v>39</v>
      </c>
    </row>
    <row r="124" spans="1:22" ht="33.75" x14ac:dyDescent="0.25">
      <c r="A124" s="28" t="s">
        <v>474</v>
      </c>
      <c r="B124" s="28" t="s">
        <v>475</v>
      </c>
      <c r="C124" s="28" t="s">
        <v>67</v>
      </c>
      <c r="D124" s="29" t="s">
        <v>68</v>
      </c>
      <c r="E124" s="29">
        <v>0</v>
      </c>
      <c r="F124" s="29">
        <v>0</v>
      </c>
      <c r="G124" s="28" t="s">
        <v>269</v>
      </c>
      <c r="H124" s="28" t="s">
        <v>270</v>
      </c>
      <c r="I124" s="30" t="s">
        <v>476</v>
      </c>
      <c r="J124" s="31">
        <v>45279</v>
      </c>
      <c r="K124" s="30">
        <v>210</v>
      </c>
      <c r="L124" s="29">
        <v>3697606.3</v>
      </c>
      <c r="M124" s="31">
        <f t="shared" si="2"/>
        <v>45489</v>
      </c>
      <c r="N124" s="30">
        <v>0</v>
      </c>
      <c r="O124" s="29">
        <v>0</v>
      </c>
      <c r="P124" s="29">
        <v>0</v>
      </c>
      <c r="Q124" s="30" t="s">
        <v>58</v>
      </c>
      <c r="R124" s="29">
        <f>363788.06</f>
        <v>363788.06</v>
      </c>
      <c r="S124" s="29">
        <v>363788.05999999994</v>
      </c>
      <c r="T124" s="29">
        <f t="shared" si="3"/>
        <v>363788.05999999994</v>
      </c>
      <c r="U124" s="29">
        <v>363788.05999999994</v>
      </c>
      <c r="V124" s="32" t="s">
        <v>39</v>
      </c>
    </row>
    <row r="125" spans="1:22" ht="33.75" x14ac:dyDescent="0.25">
      <c r="A125" s="28" t="s">
        <v>477</v>
      </c>
      <c r="B125" s="28" t="s">
        <v>478</v>
      </c>
      <c r="C125" s="28">
        <v>0</v>
      </c>
      <c r="D125" s="29">
        <v>0</v>
      </c>
      <c r="E125" s="29">
        <v>0</v>
      </c>
      <c r="F125" s="29">
        <v>0</v>
      </c>
      <c r="G125" s="28" t="s">
        <v>156</v>
      </c>
      <c r="H125" s="28" t="s">
        <v>157</v>
      </c>
      <c r="I125" s="30" t="s">
        <v>479</v>
      </c>
      <c r="J125" s="33">
        <v>45300</v>
      </c>
      <c r="K125" s="30">
        <v>1125</v>
      </c>
      <c r="L125" s="29">
        <v>7853203.1100000003</v>
      </c>
      <c r="M125" s="31">
        <f t="shared" si="2"/>
        <v>46425</v>
      </c>
      <c r="N125" s="30">
        <v>0</v>
      </c>
      <c r="O125" s="29">
        <v>0</v>
      </c>
      <c r="P125" s="29">
        <v>0</v>
      </c>
      <c r="Q125" s="30" t="s">
        <v>38</v>
      </c>
      <c r="R125" s="29">
        <v>0</v>
      </c>
      <c r="S125" s="29"/>
      <c r="T125" s="29">
        <f t="shared" si="3"/>
        <v>0</v>
      </c>
      <c r="U125" s="29">
        <v>0</v>
      </c>
      <c r="V125" s="32" t="s">
        <v>39</v>
      </c>
    </row>
    <row r="126" spans="1:22" ht="33.75" x14ac:dyDescent="0.25">
      <c r="A126" s="28" t="s">
        <v>477</v>
      </c>
      <c r="B126" s="28" t="s">
        <v>480</v>
      </c>
      <c r="C126" s="28">
        <v>0</v>
      </c>
      <c r="D126" s="29">
        <v>0</v>
      </c>
      <c r="E126" s="29">
        <v>0</v>
      </c>
      <c r="F126" s="29">
        <v>0</v>
      </c>
      <c r="G126" s="28" t="s">
        <v>481</v>
      </c>
      <c r="H126" s="28" t="s">
        <v>482</v>
      </c>
      <c r="I126" s="30" t="s">
        <v>483</v>
      </c>
      <c r="J126" s="31">
        <v>45288</v>
      </c>
      <c r="K126" s="30">
        <v>1125</v>
      </c>
      <c r="L126" s="29">
        <v>8591843.0700000003</v>
      </c>
      <c r="M126" s="31">
        <f t="shared" si="2"/>
        <v>46413</v>
      </c>
      <c r="N126" s="30">
        <v>0</v>
      </c>
      <c r="O126" s="29">
        <v>0</v>
      </c>
      <c r="P126" s="29">
        <v>0</v>
      </c>
      <c r="Q126" s="30" t="s">
        <v>38</v>
      </c>
      <c r="R126" s="29">
        <f>352090.77</f>
        <v>352090.77</v>
      </c>
      <c r="S126" s="29">
        <v>99864.54</v>
      </c>
      <c r="T126" s="29">
        <f t="shared" si="3"/>
        <v>99864.54</v>
      </c>
      <c r="U126" s="29">
        <v>99864.54</v>
      </c>
      <c r="V126" s="32" t="s">
        <v>39</v>
      </c>
    </row>
    <row r="127" spans="1:22" ht="33.75" x14ac:dyDescent="0.25">
      <c r="A127" s="28" t="s">
        <v>477</v>
      </c>
      <c r="B127" s="28" t="s">
        <v>484</v>
      </c>
      <c r="C127" s="28">
        <v>0</v>
      </c>
      <c r="D127" s="29">
        <v>0</v>
      </c>
      <c r="E127" s="29">
        <v>0</v>
      </c>
      <c r="F127" s="29">
        <v>0</v>
      </c>
      <c r="G127" s="28" t="s">
        <v>251</v>
      </c>
      <c r="H127" s="28" t="s">
        <v>252</v>
      </c>
      <c r="I127" s="30" t="s">
        <v>485</v>
      </c>
      <c r="J127" s="31">
        <v>45280</v>
      </c>
      <c r="K127" s="30">
        <v>1125</v>
      </c>
      <c r="L127" s="29">
        <v>10635818.07</v>
      </c>
      <c r="M127" s="31">
        <f t="shared" si="2"/>
        <v>46405</v>
      </c>
      <c r="N127" s="30">
        <v>0</v>
      </c>
      <c r="O127" s="29">
        <v>0</v>
      </c>
      <c r="P127" s="29">
        <v>0</v>
      </c>
      <c r="Q127" s="30" t="s">
        <v>38</v>
      </c>
      <c r="R127" s="29">
        <v>0</v>
      </c>
      <c r="S127" s="29"/>
      <c r="T127" s="29">
        <f t="shared" si="3"/>
        <v>0</v>
      </c>
      <c r="U127" s="29">
        <v>0</v>
      </c>
      <c r="V127" s="32" t="s">
        <v>39</v>
      </c>
    </row>
    <row r="128" spans="1:22" ht="33.75" x14ac:dyDescent="0.25">
      <c r="A128" s="28" t="s">
        <v>477</v>
      </c>
      <c r="B128" s="28" t="s">
        <v>486</v>
      </c>
      <c r="C128" s="28">
        <v>0</v>
      </c>
      <c r="D128" s="29">
        <v>0</v>
      </c>
      <c r="E128" s="29">
        <v>0</v>
      </c>
      <c r="F128" s="29">
        <v>0</v>
      </c>
      <c r="G128" s="28" t="s">
        <v>120</v>
      </c>
      <c r="H128" s="28" t="s">
        <v>121</v>
      </c>
      <c r="I128" s="30" t="s">
        <v>487</v>
      </c>
      <c r="J128" s="31">
        <v>45280</v>
      </c>
      <c r="K128" s="30">
        <v>1125</v>
      </c>
      <c r="L128" s="29">
        <v>11760484.59</v>
      </c>
      <c r="M128" s="31">
        <f t="shared" si="2"/>
        <v>46405</v>
      </c>
      <c r="N128" s="30">
        <v>0</v>
      </c>
      <c r="O128" s="29">
        <v>0</v>
      </c>
      <c r="P128" s="29">
        <v>0</v>
      </c>
      <c r="Q128" s="30" t="s">
        <v>38</v>
      </c>
      <c r="R128" s="29">
        <f>123643.47</f>
        <v>123643.47</v>
      </c>
      <c r="S128" s="29">
        <v>72276.37</v>
      </c>
      <c r="T128" s="29">
        <f t="shared" si="3"/>
        <v>72276.37</v>
      </c>
      <c r="U128" s="29">
        <v>72276.37</v>
      </c>
      <c r="V128" s="32" t="s">
        <v>39</v>
      </c>
    </row>
    <row r="129" spans="1:22" ht="33.75" x14ac:dyDescent="0.25">
      <c r="A129" s="28" t="s">
        <v>488</v>
      </c>
      <c r="B129" s="28" t="s">
        <v>489</v>
      </c>
      <c r="C129" s="28">
        <v>0</v>
      </c>
      <c r="D129" s="29">
        <v>0</v>
      </c>
      <c r="E129" s="29">
        <v>0</v>
      </c>
      <c r="F129" s="29">
        <v>0</v>
      </c>
      <c r="G129" s="28" t="s">
        <v>141</v>
      </c>
      <c r="H129" s="28" t="s">
        <v>142</v>
      </c>
      <c r="I129" s="30" t="s">
        <v>490</v>
      </c>
      <c r="J129" s="31">
        <v>45352</v>
      </c>
      <c r="K129" s="30">
        <v>365</v>
      </c>
      <c r="L129" s="29">
        <v>4982817</v>
      </c>
      <c r="M129" s="31">
        <f t="shared" si="2"/>
        <v>45717</v>
      </c>
      <c r="N129" s="30">
        <v>0</v>
      </c>
      <c r="O129" s="29">
        <v>0</v>
      </c>
      <c r="P129" s="29">
        <v>0</v>
      </c>
      <c r="Q129" s="30" t="s">
        <v>38</v>
      </c>
      <c r="R129" s="29">
        <v>0</v>
      </c>
      <c r="S129" s="29">
        <v>0</v>
      </c>
      <c r="T129" s="29">
        <f t="shared" si="3"/>
        <v>0</v>
      </c>
      <c r="U129" s="29">
        <v>0</v>
      </c>
      <c r="V129" s="32" t="s">
        <v>39</v>
      </c>
    </row>
    <row r="130" spans="1:22" ht="33" customHeight="1" x14ac:dyDescent="0.2">
      <c r="A130" s="34" t="s">
        <v>491</v>
      </c>
      <c r="B130" s="35" t="s">
        <v>492</v>
      </c>
      <c r="C130" s="35">
        <v>0</v>
      </c>
      <c r="D130" s="36">
        <v>0</v>
      </c>
      <c r="E130" s="36">
        <v>0</v>
      </c>
      <c r="F130" s="36">
        <v>0</v>
      </c>
      <c r="G130" s="35" t="s">
        <v>309</v>
      </c>
      <c r="H130" s="35" t="s">
        <v>310</v>
      </c>
      <c r="I130" s="37" t="s">
        <v>493</v>
      </c>
      <c r="J130" s="38">
        <v>45327</v>
      </c>
      <c r="K130" s="37">
        <v>360</v>
      </c>
      <c r="L130" s="39">
        <v>1504215.49</v>
      </c>
      <c r="M130" s="38">
        <f t="shared" si="2"/>
        <v>45687</v>
      </c>
      <c r="N130" s="37">
        <v>0</v>
      </c>
      <c r="O130" s="36">
        <v>0</v>
      </c>
      <c r="P130" s="36">
        <v>0</v>
      </c>
      <c r="Q130" s="37" t="s">
        <v>38</v>
      </c>
      <c r="R130" s="36">
        <v>0</v>
      </c>
      <c r="S130" s="36">
        <v>0</v>
      </c>
      <c r="T130" s="29">
        <f t="shared" si="3"/>
        <v>0</v>
      </c>
      <c r="U130" s="29">
        <v>0</v>
      </c>
      <c r="V130" s="40" t="s">
        <v>39</v>
      </c>
    </row>
    <row r="131" spans="1:22" ht="56.25" x14ac:dyDescent="0.25">
      <c r="A131" s="28" t="s">
        <v>491</v>
      </c>
      <c r="B131" s="28" t="s">
        <v>494</v>
      </c>
      <c r="C131" s="28">
        <v>0</v>
      </c>
      <c r="D131" s="29">
        <v>0</v>
      </c>
      <c r="E131" s="29">
        <v>0</v>
      </c>
      <c r="F131" s="29">
        <v>0</v>
      </c>
      <c r="G131" s="28" t="s">
        <v>495</v>
      </c>
      <c r="H131" s="28" t="s">
        <v>496</v>
      </c>
      <c r="I131" s="30" t="s">
        <v>497</v>
      </c>
      <c r="J131" s="31">
        <v>1</v>
      </c>
      <c r="K131" s="30">
        <v>360</v>
      </c>
      <c r="L131" s="41">
        <v>1344558.34</v>
      </c>
      <c r="M131" s="31">
        <f t="shared" si="2"/>
        <v>361</v>
      </c>
      <c r="N131" s="30">
        <v>0</v>
      </c>
      <c r="O131" s="29">
        <v>0</v>
      </c>
      <c r="P131" s="29">
        <v>0</v>
      </c>
      <c r="Q131" s="30" t="s">
        <v>38</v>
      </c>
      <c r="R131" s="29">
        <v>0</v>
      </c>
      <c r="S131" s="29">
        <v>0</v>
      </c>
      <c r="T131" s="29">
        <f t="shared" si="3"/>
        <v>0</v>
      </c>
      <c r="U131" s="29">
        <v>0</v>
      </c>
      <c r="V131" s="32" t="s">
        <v>262</v>
      </c>
    </row>
    <row r="132" spans="1:22" ht="46.5" customHeight="1" x14ac:dyDescent="0.25">
      <c r="A132" s="28" t="s">
        <v>498</v>
      </c>
      <c r="B132" s="28" t="s">
        <v>499</v>
      </c>
      <c r="C132" s="28">
        <v>0</v>
      </c>
      <c r="D132" s="29">
        <v>0</v>
      </c>
      <c r="E132" s="29">
        <v>0</v>
      </c>
      <c r="F132" s="29">
        <v>0</v>
      </c>
      <c r="G132" s="28" t="s">
        <v>177</v>
      </c>
      <c r="H132" s="28" t="s">
        <v>178</v>
      </c>
      <c r="I132" s="30" t="s">
        <v>500</v>
      </c>
      <c r="J132" s="31">
        <v>45315</v>
      </c>
      <c r="K132" s="30">
        <v>60</v>
      </c>
      <c r="L132" s="41">
        <v>276000</v>
      </c>
      <c r="M132" s="31">
        <f t="shared" si="2"/>
        <v>45375</v>
      </c>
      <c r="N132" s="30">
        <v>0</v>
      </c>
      <c r="O132" s="29">
        <f>68889.62</f>
        <v>68889.62</v>
      </c>
      <c r="P132" s="29">
        <v>0</v>
      </c>
      <c r="Q132" s="30" t="s">
        <v>38</v>
      </c>
      <c r="R132" s="29">
        <f>341814.11</f>
        <v>341814.11</v>
      </c>
      <c r="S132" s="29">
        <v>272924.49</v>
      </c>
      <c r="T132" s="29">
        <f t="shared" si="3"/>
        <v>272924.49</v>
      </c>
      <c r="U132" s="29">
        <v>272924.49</v>
      </c>
      <c r="V132" s="32" t="s">
        <v>39</v>
      </c>
    </row>
    <row r="133" spans="1:22" ht="48.75" customHeight="1" x14ac:dyDescent="0.25">
      <c r="A133" s="28" t="s">
        <v>498</v>
      </c>
      <c r="B133" s="28" t="s">
        <v>501</v>
      </c>
      <c r="C133" s="28">
        <v>0</v>
      </c>
      <c r="D133" s="29">
        <v>0</v>
      </c>
      <c r="E133" s="29">
        <v>0</v>
      </c>
      <c r="F133" s="29">
        <v>0</v>
      </c>
      <c r="G133" s="28" t="s">
        <v>131</v>
      </c>
      <c r="H133" s="28" t="s">
        <v>132</v>
      </c>
      <c r="I133" s="30" t="s">
        <v>502</v>
      </c>
      <c r="J133" s="31">
        <v>45314</v>
      </c>
      <c r="K133" s="30">
        <v>60</v>
      </c>
      <c r="L133" s="41">
        <v>292497.15999999997</v>
      </c>
      <c r="M133" s="31">
        <f t="shared" si="2"/>
        <v>45374</v>
      </c>
      <c r="N133" s="30">
        <v>0</v>
      </c>
      <c r="O133" s="29">
        <f>73065.44</f>
        <v>73065.440000000002</v>
      </c>
      <c r="P133" s="29">
        <v>0</v>
      </c>
      <c r="Q133" s="30" t="s">
        <v>38</v>
      </c>
      <c r="R133" s="29">
        <f>365562.49</f>
        <v>365562.49</v>
      </c>
      <c r="S133" s="29">
        <v>292497.05</v>
      </c>
      <c r="T133" s="29">
        <f t="shared" si="3"/>
        <v>292497.05</v>
      </c>
      <c r="U133" s="29">
        <v>292497.05</v>
      </c>
      <c r="V133" s="32" t="s">
        <v>39</v>
      </c>
    </row>
    <row r="134" spans="1:22" ht="52.5" customHeight="1" x14ac:dyDescent="0.25">
      <c r="A134" s="28" t="s">
        <v>498</v>
      </c>
      <c r="B134" s="28" t="s">
        <v>503</v>
      </c>
      <c r="C134" s="28">
        <v>0</v>
      </c>
      <c r="D134" s="29">
        <v>0</v>
      </c>
      <c r="E134" s="29">
        <v>0</v>
      </c>
      <c r="F134" s="29">
        <v>0</v>
      </c>
      <c r="G134" s="28" t="s">
        <v>120</v>
      </c>
      <c r="H134" s="28" t="s">
        <v>121</v>
      </c>
      <c r="I134" s="30" t="s">
        <v>504</v>
      </c>
      <c r="J134" s="31">
        <v>45314</v>
      </c>
      <c r="K134" s="30">
        <v>60</v>
      </c>
      <c r="L134" s="41">
        <v>429999.35</v>
      </c>
      <c r="M134" s="31">
        <f t="shared" si="2"/>
        <v>45374</v>
      </c>
      <c r="N134" s="30">
        <v>0</v>
      </c>
      <c r="O134" s="29">
        <f>107370.45</f>
        <v>107370.45</v>
      </c>
      <c r="P134" s="29">
        <v>0</v>
      </c>
      <c r="Q134" s="30" t="s">
        <v>38</v>
      </c>
      <c r="R134" s="29">
        <f>534932.43</f>
        <v>534932.43000000005</v>
      </c>
      <c r="S134" s="29">
        <v>427561.98</v>
      </c>
      <c r="T134" s="29">
        <f t="shared" si="3"/>
        <v>427561.98</v>
      </c>
      <c r="U134" s="29">
        <v>427561.98</v>
      </c>
      <c r="V134" s="32" t="s">
        <v>39</v>
      </c>
    </row>
    <row r="135" spans="1:22" ht="60.75" customHeight="1" x14ac:dyDescent="0.25">
      <c r="A135" s="28" t="s">
        <v>505</v>
      </c>
      <c r="B135" s="28" t="s">
        <v>506</v>
      </c>
      <c r="C135" s="28">
        <v>0</v>
      </c>
      <c r="D135" s="29">
        <v>0</v>
      </c>
      <c r="E135" s="29">
        <v>0</v>
      </c>
      <c r="F135" s="29">
        <v>0</v>
      </c>
      <c r="G135" s="28" t="s">
        <v>507</v>
      </c>
      <c r="H135" s="28" t="s">
        <v>508</v>
      </c>
      <c r="I135" s="30" t="s">
        <v>509</v>
      </c>
      <c r="J135" s="31">
        <v>1</v>
      </c>
      <c r="K135" s="30">
        <v>90</v>
      </c>
      <c r="L135" s="41">
        <v>290450.01</v>
      </c>
      <c r="M135" s="31">
        <f t="shared" si="2"/>
        <v>91</v>
      </c>
      <c r="N135" s="30">
        <v>0</v>
      </c>
      <c r="O135" s="29">
        <v>0</v>
      </c>
      <c r="P135" s="29">
        <v>0</v>
      </c>
      <c r="Q135" s="30" t="s">
        <v>38</v>
      </c>
      <c r="R135" s="29">
        <v>0</v>
      </c>
      <c r="S135" s="29">
        <v>0</v>
      </c>
      <c r="T135" s="29">
        <f t="shared" si="3"/>
        <v>0</v>
      </c>
      <c r="U135" s="29">
        <v>0</v>
      </c>
      <c r="V135" s="32" t="s">
        <v>262</v>
      </c>
    </row>
    <row r="136" spans="1:22" ht="61.5" customHeight="1" x14ac:dyDescent="0.25">
      <c r="A136" s="28" t="s">
        <v>510</v>
      </c>
      <c r="B136" s="28" t="s">
        <v>511</v>
      </c>
      <c r="C136" s="28">
        <v>0</v>
      </c>
      <c r="D136" s="29">
        <v>0</v>
      </c>
      <c r="E136" s="29">
        <v>0</v>
      </c>
      <c r="F136" s="29">
        <v>0</v>
      </c>
      <c r="G136" s="28" t="s">
        <v>512</v>
      </c>
      <c r="H136" s="28" t="s">
        <v>513</v>
      </c>
      <c r="I136" s="30" t="s">
        <v>514</v>
      </c>
      <c r="J136" s="31">
        <v>45317</v>
      </c>
      <c r="K136" s="30">
        <v>210</v>
      </c>
      <c r="L136" s="41">
        <v>465300</v>
      </c>
      <c r="M136" s="31">
        <f t="shared" si="2"/>
        <v>45527</v>
      </c>
      <c r="N136" s="30">
        <v>0</v>
      </c>
      <c r="O136" s="29">
        <v>0</v>
      </c>
      <c r="P136" s="29">
        <v>0</v>
      </c>
      <c r="Q136" s="30" t="s">
        <v>38</v>
      </c>
      <c r="R136" s="29">
        <f>101771.01</f>
        <v>101771.01</v>
      </c>
      <c r="S136" s="29">
        <v>0</v>
      </c>
      <c r="T136" s="29">
        <f t="shared" si="3"/>
        <v>0</v>
      </c>
      <c r="U136" s="29">
        <v>0</v>
      </c>
      <c r="V136" s="32" t="s">
        <v>39</v>
      </c>
    </row>
    <row r="137" spans="1:22" ht="60.75" customHeight="1" x14ac:dyDescent="0.25">
      <c r="A137" s="28" t="s">
        <v>515</v>
      </c>
      <c r="B137" s="28" t="s">
        <v>516</v>
      </c>
      <c r="C137" s="28">
        <v>0</v>
      </c>
      <c r="D137" s="29">
        <v>0</v>
      </c>
      <c r="E137" s="29">
        <v>0</v>
      </c>
      <c r="F137" s="29">
        <v>0</v>
      </c>
      <c r="G137" s="28" t="s">
        <v>517</v>
      </c>
      <c r="H137" s="28" t="s">
        <v>518</v>
      </c>
      <c r="I137" s="30" t="s">
        <v>519</v>
      </c>
      <c r="J137" s="31">
        <v>45324</v>
      </c>
      <c r="K137" s="30">
        <v>570</v>
      </c>
      <c r="L137" s="41">
        <v>704906.94</v>
      </c>
      <c r="M137" s="31">
        <f t="shared" ref="M137:M152" si="4">J137+K137+N137</f>
        <v>45894</v>
      </c>
      <c r="N137" s="30">
        <v>0</v>
      </c>
      <c r="O137" s="29">
        <v>0</v>
      </c>
      <c r="P137" s="29">
        <v>0</v>
      </c>
      <c r="Q137" s="30" t="s">
        <v>38</v>
      </c>
      <c r="R137" s="29">
        <v>0</v>
      </c>
      <c r="S137" s="29">
        <v>0</v>
      </c>
      <c r="T137" s="29">
        <f t="shared" ref="T137:T152" si="5">S137</f>
        <v>0</v>
      </c>
      <c r="U137" s="29">
        <v>0</v>
      </c>
      <c r="V137" s="32" t="s">
        <v>39</v>
      </c>
    </row>
    <row r="138" spans="1:22" ht="47.25" customHeight="1" x14ac:dyDescent="0.25">
      <c r="A138" s="28" t="s">
        <v>520</v>
      </c>
      <c r="B138" s="28" t="s">
        <v>521</v>
      </c>
      <c r="C138" s="28">
        <v>0</v>
      </c>
      <c r="D138" s="29">
        <v>0</v>
      </c>
      <c r="E138" s="29">
        <v>0</v>
      </c>
      <c r="F138" s="29">
        <v>0</v>
      </c>
      <c r="G138" s="28" t="s">
        <v>74</v>
      </c>
      <c r="H138" s="28" t="s">
        <v>75</v>
      </c>
      <c r="I138" s="30" t="s">
        <v>522</v>
      </c>
      <c r="J138" s="31">
        <v>1</v>
      </c>
      <c r="K138" s="30">
        <v>180</v>
      </c>
      <c r="L138" s="41">
        <v>2575522.7599999998</v>
      </c>
      <c r="M138" s="31">
        <f t="shared" si="4"/>
        <v>181</v>
      </c>
      <c r="N138" s="30">
        <v>0</v>
      </c>
      <c r="O138" s="29">
        <v>0</v>
      </c>
      <c r="P138" s="29">
        <v>0</v>
      </c>
      <c r="Q138" s="30" t="s">
        <v>38</v>
      </c>
      <c r="R138" s="29">
        <v>0</v>
      </c>
      <c r="S138" s="29">
        <v>0</v>
      </c>
      <c r="T138" s="29">
        <f t="shared" si="5"/>
        <v>0</v>
      </c>
      <c r="U138" s="29">
        <v>0</v>
      </c>
      <c r="V138" s="32" t="s">
        <v>262</v>
      </c>
    </row>
    <row r="139" spans="1:22" ht="47.25" customHeight="1" x14ac:dyDescent="0.25">
      <c r="A139" s="28" t="s">
        <v>523</v>
      </c>
      <c r="B139" s="28" t="s">
        <v>524</v>
      </c>
      <c r="C139" s="28">
        <v>0</v>
      </c>
      <c r="D139" s="29">
        <v>0</v>
      </c>
      <c r="E139" s="29">
        <v>0</v>
      </c>
      <c r="F139" s="29">
        <v>0</v>
      </c>
      <c r="G139" s="28" t="s">
        <v>131</v>
      </c>
      <c r="H139" s="28" t="s">
        <v>132</v>
      </c>
      <c r="I139" s="30" t="s">
        <v>525</v>
      </c>
      <c r="J139" s="31">
        <v>45358</v>
      </c>
      <c r="K139" s="30">
        <v>210</v>
      </c>
      <c r="L139" s="41">
        <v>2359459.92</v>
      </c>
      <c r="M139" s="31">
        <f t="shared" si="4"/>
        <v>45568</v>
      </c>
      <c r="N139" s="30">
        <v>0</v>
      </c>
      <c r="O139" s="29">
        <v>0</v>
      </c>
      <c r="P139" s="29">
        <v>0</v>
      </c>
      <c r="Q139" s="30" t="s">
        <v>38</v>
      </c>
      <c r="R139" s="29">
        <v>0</v>
      </c>
      <c r="S139" s="29"/>
      <c r="T139" s="29">
        <f t="shared" si="5"/>
        <v>0</v>
      </c>
      <c r="U139" s="29">
        <v>0</v>
      </c>
      <c r="V139" s="32" t="s">
        <v>285</v>
      </c>
    </row>
    <row r="140" spans="1:22" ht="48" customHeight="1" x14ac:dyDescent="0.25">
      <c r="A140" s="28" t="s">
        <v>526</v>
      </c>
      <c r="B140" s="28" t="s">
        <v>527</v>
      </c>
      <c r="C140" s="28">
        <v>0</v>
      </c>
      <c r="D140" s="29">
        <v>0</v>
      </c>
      <c r="E140" s="29">
        <v>0</v>
      </c>
      <c r="F140" s="29">
        <v>0</v>
      </c>
      <c r="G140" s="28" t="s">
        <v>517</v>
      </c>
      <c r="H140" s="28" t="s">
        <v>518</v>
      </c>
      <c r="I140" s="30" t="s">
        <v>528</v>
      </c>
      <c r="J140" s="31">
        <v>45328</v>
      </c>
      <c r="K140" s="30">
        <v>210</v>
      </c>
      <c r="L140" s="41">
        <v>786794.83</v>
      </c>
      <c r="M140" s="31">
        <f t="shared" si="4"/>
        <v>45538</v>
      </c>
      <c r="N140" s="30">
        <v>0</v>
      </c>
      <c r="O140" s="29">
        <v>0</v>
      </c>
      <c r="P140" s="29">
        <v>0</v>
      </c>
      <c r="Q140" s="30" t="s">
        <v>38</v>
      </c>
      <c r="R140" s="29">
        <v>0</v>
      </c>
      <c r="S140" s="29">
        <v>0</v>
      </c>
      <c r="T140" s="29">
        <f t="shared" si="5"/>
        <v>0</v>
      </c>
      <c r="U140" s="29">
        <v>0</v>
      </c>
      <c r="V140" s="32" t="s">
        <v>39</v>
      </c>
    </row>
    <row r="141" spans="1:22" ht="51" customHeight="1" x14ac:dyDescent="0.25">
      <c r="A141" s="28" t="s">
        <v>529</v>
      </c>
      <c r="B141" s="28" t="s">
        <v>530</v>
      </c>
      <c r="C141" s="28">
        <v>0</v>
      </c>
      <c r="D141" s="29">
        <v>0</v>
      </c>
      <c r="E141" s="29">
        <v>0</v>
      </c>
      <c r="F141" s="29">
        <v>0</v>
      </c>
      <c r="G141" s="28" t="s">
        <v>177</v>
      </c>
      <c r="H141" s="28" t="s">
        <v>178</v>
      </c>
      <c r="I141" s="30" t="s">
        <v>531</v>
      </c>
      <c r="J141" s="31">
        <v>45356</v>
      </c>
      <c r="K141" s="30">
        <v>760</v>
      </c>
      <c r="L141" s="41">
        <v>3456461.18</v>
      </c>
      <c r="M141" s="31">
        <f t="shared" si="4"/>
        <v>46116</v>
      </c>
      <c r="N141" s="30">
        <v>0</v>
      </c>
      <c r="O141" s="29">
        <v>0</v>
      </c>
      <c r="P141" s="29">
        <v>0</v>
      </c>
      <c r="Q141" s="30" t="s">
        <v>38</v>
      </c>
      <c r="R141" s="29">
        <v>0</v>
      </c>
      <c r="S141" s="29"/>
      <c r="T141" s="29">
        <f t="shared" si="5"/>
        <v>0</v>
      </c>
      <c r="U141" s="29">
        <v>0</v>
      </c>
      <c r="V141" s="32" t="s">
        <v>39</v>
      </c>
    </row>
    <row r="142" spans="1:22" ht="37.5" customHeight="1" x14ac:dyDescent="0.25">
      <c r="A142" s="28" t="s">
        <v>532</v>
      </c>
      <c r="B142" s="28" t="s">
        <v>533</v>
      </c>
      <c r="C142" s="28">
        <v>0</v>
      </c>
      <c r="D142" s="29">
        <v>0</v>
      </c>
      <c r="E142" s="29">
        <v>0</v>
      </c>
      <c r="F142" s="29">
        <v>0</v>
      </c>
      <c r="G142" s="28" t="s">
        <v>136</v>
      </c>
      <c r="H142" s="28" t="s">
        <v>137</v>
      </c>
      <c r="I142" s="30" t="s">
        <v>534</v>
      </c>
      <c r="J142" s="31">
        <v>45365</v>
      </c>
      <c r="K142" s="30">
        <v>270</v>
      </c>
      <c r="L142" s="41">
        <v>6560114.3499999996</v>
      </c>
      <c r="M142" s="31">
        <f t="shared" si="4"/>
        <v>45635</v>
      </c>
      <c r="N142" s="30">
        <v>0</v>
      </c>
      <c r="O142" s="29">
        <v>0</v>
      </c>
      <c r="P142" s="29">
        <v>0</v>
      </c>
      <c r="Q142" s="30" t="s">
        <v>38</v>
      </c>
      <c r="R142" s="29">
        <v>0</v>
      </c>
      <c r="S142" s="29"/>
      <c r="T142" s="29">
        <f t="shared" si="5"/>
        <v>0</v>
      </c>
      <c r="U142" s="29">
        <v>0</v>
      </c>
      <c r="V142" s="32" t="s">
        <v>285</v>
      </c>
    </row>
    <row r="143" spans="1:22" ht="37.5" customHeight="1" x14ac:dyDescent="0.25">
      <c r="A143" s="28" t="s">
        <v>532</v>
      </c>
      <c r="B143" s="28" t="s">
        <v>535</v>
      </c>
      <c r="C143" s="28">
        <v>0</v>
      </c>
      <c r="D143" s="29">
        <v>0</v>
      </c>
      <c r="E143" s="29">
        <v>0</v>
      </c>
      <c r="F143" s="29">
        <v>0</v>
      </c>
      <c r="G143" s="28" t="s">
        <v>131</v>
      </c>
      <c r="H143" s="28" t="s">
        <v>132</v>
      </c>
      <c r="I143" s="30" t="s">
        <v>536</v>
      </c>
      <c r="J143" s="31">
        <v>45359</v>
      </c>
      <c r="K143" s="30">
        <v>270</v>
      </c>
      <c r="L143" s="41">
        <v>2816415.47</v>
      </c>
      <c r="M143" s="31">
        <f t="shared" si="4"/>
        <v>45629</v>
      </c>
      <c r="N143" s="30">
        <v>0</v>
      </c>
      <c r="O143" s="29">
        <v>0</v>
      </c>
      <c r="P143" s="29">
        <v>0</v>
      </c>
      <c r="Q143" s="30" t="s">
        <v>38</v>
      </c>
      <c r="R143" s="29">
        <v>0</v>
      </c>
      <c r="S143" s="29"/>
      <c r="T143" s="29">
        <f t="shared" si="5"/>
        <v>0</v>
      </c>
      <c r="U143" s="29">
        <v>0</v>
      </c>
      <c r="V143" s="32" t="s">
        <v>39</v>
      </c>
    </row>
    <row r="144" spans="1:22" ht="39" customHeight="1" x14ac:dyDescent="0.25">
      <c r="A144" s="28" t="s">
        <v>320</v>
      </c>
      <c r="B144" s="42" t="s">
        <v>537</v>
      </c>
      <c r="C144" s="28">
        <v>0</v>
      </c>
      <c r="D144" s="29">
        <v>0</v>
      </c>
      <c r="E144" s="29">
        <v>0</v>
      </c>
      <c r="F144" s="29">
        <v>0</v>
      </c>
      <c r="G144" s="28" t="s">
        <v>131</v>
      </c>
      <c r="H144" s="28" t="s">
        <v>132</v>
      </c>
      <c r="I144" s="30" t="s">
        <v>538</v>
      </c>
      <c r="J144" s="31">
        <v>1</v>
      </c>
      <c r="K144" s="30">
        <v>365</v>
      </c>
      <c r="L144" s="41">
        <v>3815824.95</v>
      </c>
      <c r="M144" s="31">
        <f t="shared" si="4"/>
        <v>366</v>
      </c>
      <c r="N144" s="30">
        <v>0</v>
      </c>
      <c r="O144" s="29">
        <v>0</v>
      </c>
      <c r="P144" s="29">
        <v>0</v>
      </c>
      <c r="Q144" s="30" t="s">
        <v>38</v>
      </c>
      <c r="R144" s="29">
        <v>0</v>
      </c>
      <c r="S144" s="29"/>
      <c r="T144" s="29">
        <f t="shared" si="5"/>
        <v>0</v>
      </c>
      <c r="U144" s="29">
        <v>0</v>
      </c>
      <c r="V144" s="32" t="s">
        <v>262</v>
      </c>
    </row>
    <row r="145" spans="1:22" ht="50.25" customHeight="1" x14ac:dyDescent="0.25">
      <c r="A145" s="28" t="s">
        <v>539</v>
      </c>
      <c r="B145" s="28" t="s">
        <v>540</v>
      </c>
      <c r="C145" s="28">
        <v>0</v>
      </c>
      <c r="D145" s="29">
        <v>0</v>
      </c>
      <c r="E145" s="29">
        <v>0</v>
      </c>
      <c r="F145" s="29">
        <v>0</v>
      </c>
      <c r="G145" s="28" t="s">
        <v>265</v>
      </c>
      <c r="H145" s="28" t="s">
        <v>266</v>
      </c>
      <c r="I145" s="30" t="s">
        <v>541</v>
      </c>
      <c r="J145" s="31">
        <v>1</v>
      </c>
      <c r="K145" s="30">
        <v>120</v>
      </c>
      <c r="L145" s="41">
        <v>629704</v>
      </c>
      <c r="M145" s="31">
        <f t="shared" si="4"/>
        <v>121</v>
      </c>
      <c r="N145" s="30">
        <v>0</v>
      </c>
      <c r="O145" s="29">
        <v>0</v>
      </c>
      <c r="P145" s="29">
        <v>0</v>
      </c>
      <c r="Q145" s="30" t="s">
        <v>38</v>
      </c>
      <c r="R145" s="29">
        <v>0</v>
      </c>
      <c r="S145" s="29"/>
      <c r="T145" s="29">
        <f t="shared" si="5"/>
        <v>0</v>
      </c>
      <c r="U145" s="29">
        <v>0</v>
      </c>
      <c r="V145" s="32" t="s">
        <v>262</v>
      </c>
    </row>
    <row r="146" spans="1:22" ht="60" customHeight="1" x14ac:dyDescent="0.25">
      <c r="A146" s="28" t="s">
        <v>542</v>
      </c>
      <c r="B146" s="28" t="s">
        <v>543</v>
      </c>
      <c r="C146" s="28">
        <v>0</v>
      </c>
      <c r="D146" s="29">
        <v>0</v>
      </c>
      <c r="E146" s="29">
        <v>0</v>
      </c>
      <c r="F146" s="29">
        <v>0</v>
      </c>
      <c r="G146" s="28" t="s">
        <v>544</v>
      </c>
      <c r="H146" s="28" t="s">
        <v>545</v>
      </c>
      <c r="I146" s="30" t="s">
        <v>546</v>
      </c>
      <c r="J146" s="31">
        <v>45377</v>
      </c>
      <c r="K146" s="30">
        <v>120</v>
      </c>
      <c r="L146" s="41">
        <v>119999.8</v>
      </c>
      <c r="M146" s="31">
        <f t="shared" si="4"/>
        <v>45497</v>
      </c>
      <c r="N146" s="30">
        <v>0</v>
      </c>
      <c r="O146" s="29">
        <v>0</v>
      </c>
      <c r="P146" s="29">
        <v>0</v>
      </c>
      <c r="Q146" s="30" t="s">
        <v>38</v>
      </c>
      <c r="R146" s="29">
        <v>0</v>
      </c>
      <c r="S146" s="29">
        <v>0</v>
      </c>
      <c r="T146" s="29">
        <f t="shared" si="5"/>
        <v>0</v>
      </c>
      <c r="U146" s="29">
        <v>0</v>
      </c>
      <c r="V146" s="32" t="s">
        <v>39</v>
      </c>
    </row>
    <row r="147" spans="1:22" ht="60.75" customHeight="1" x14ac:dyDescent="0.25">
      <c r="A147" s="28" t="s">
        <v>547</v>
      </c>
      <c r="B147" s="28" t="s">
        <v>548</v>
      </c>
      <c r="C147" s="28">
        <v>0</v>
      </c>
      <c r="D147" s="29">
        <v>0</v>
      </c>
      <c r="E147" s="29">
        <v>0</v>
      </c>
      <c r="F147" s="29">
        <v>0</v>
      </c>
      <c r="G147" s="28" t="s">
        <v>131</v>
      </c>
      <c r="H147" s="28" t="s">
        <v>132</v>
      </c>
      <c r="I147" s="30" t="s">
        <v>549</v>
      </c>
      <c r="J147" s="31">
        <v>1</v>
      </c>
      <c r="K147" s="30">
        <v>760</v>
      </c>
      <c r="L147" s="41">
        <v>1709485.55</v>
      </c>
      <c r="M147" s="31">
        <f t="shared" si="4"/>
        <v>761</v>
      </c>
      <c r="N147" s="30">
        <v>0</v>
      </c>
      <c r="O147" s="29">
        <v>0</v>
      </c>
      <c r="P147" s="29">
        <v>0</v>
      </c>
      <c r="Q147" s="30" t="s">
        <v>38</v>
      </c>
      <c r="R147" s="29">
        <v>0</v>
      </c>
      <c r="S147" s="29"/>
      <c r="T147" s="29">
        <f t="shared" si="5"/>
        <v>0</v>
      </c>
      <c r="U147" s="29">
        <v>0</v>
      </c>
      <c r="V147" s="32" t="s">
        <v>262</v>
      </c>
    </row>
    <row r="148" spans="1:22" ht="58.5" customHeight="1" x14ac:dyDescent="0.25">
      <c r="A148" s="28" t="s">
        <v>550</v>
      </c>
      <c r="B148" s="28" t="s">
        <v>551</v>
      </c>
      <c r="C148" s="28">
        <v>0</v>
      </c>
      <c r="D148" s="29">
        <v>0</v>
      </c>
      <c r="E148" s="29">
        <v>0</v>
      </c>
      <c r="F148" s="29">
        <v>0</v>
      </c>
      <c r="G148" s="28" t="s">
        <v>141</v>
      </c>
      <c r="H148" s="28" t="s">
        <v>142</v>
      </c>
      <c r="I148" s="30" t="s">
        <v>552</v>
      </c>
      <c r="J148" s="31">
        <v>1</v>
      </c>
      <c r="K148" s="30">
        <v>365</v>
      </c>
      <c r="L148" s="41">
        <v>20266855.800000001</v>
      </c>
      <c r="M148" s="31">
        <f t="shared" si="4"/>
        <v>366</v>
      </c>
      <c r="N148" s="30">
        <v>0</v>
      </c>
      <c r="O148" s="29">
        <v>0</v>
      </c>
      <c r="P148" s="29">
        <v>0</v>
      </c>
      <c r="Q148" s="30" t="s">
        <v>38</v>
      </c>
      <c r="R148" s="29">
        <v>0</v>
      </c>
      <c r="S148" s="29">
        <v>0</v>
      </c>
      <c r="T148" s="29">
        <f t="shared" si="5"/>
        <v>0</v>
      </c>
      <c r="U148" s="29">
        <v>0</v>
      </c>
      <c r="V148" s="32" t="s">
        <v>262</v>
      </c>
    </row>
    <row r="149" spans="1:22" ht="49.5" customHeight="1" x14ac:dyDescent="0.25">
      <c r="A149" s="28" t="s">
        <v>553</v>
      </c>
      <c r="B149" s="28" t="s">
        <v>554</v>
      </c>
      <c r="C149" s="28">
        <v>0</v>
      </c>
      <c r="D149" s="29">
        <v>0</v>
      </c>
      <c r="E149" s="29">
        <v>0</v>
      </c>
      <c r="F149" s="29">
        <v>0</v>
      </c>
      <c r="G149" s="28" t="s">
        <v>120</v>
      </c>
      <c r="H149" s="28" t="s">
        <v>121</v>
      </c>
      <c r="I149" s="30" t="s">
        <v>555</v>
      </c>
      <c r="J149" s="31">
        <v>45387</v>
      </c>
      <c r="K149" s="30">
        <v>810</v>
      </c>
      <c r="L149" s="41">
        <v>11271183.82</v>
      </c>
      <c r="M149" s="31">
        <f t="shared" si="4"/>
        <v>46197</v>
      </c>
      <c r="N149" s="30">
        <v>0</v>
      </c>
      <c r="O149" s="29">
        <v>0</v>
      </c>
      <c r="P149" s="29">
        <v>0</v>
      </c>
      <c r="Q149" s="30" t="s">
        <v>38</v>
      </c>
      <c r="R149" s="29">
        <v>0</v>
      </c>
      <c r="S149" s="29">
        <v>0</v>
      </c>
      <c r="T149" s="29">
        <f t="shared" si="5"/>
        <v>0</v>
      </c>
      <c r="U149" s="29">
        <v>0</v>
      </c>
      <c r="V149" s="32" t="s">
        <v>285</v>
      </c>
    </row>
    <row r="150" spans="1:22" ht="48" customHeight="1" x14ac:dyDescent="0.25">
      <c r="A150" s="28" t="s">
        <v>556</v>
      </c>
      <c r="B150" s="28" t="s">
        <v>557</v>
      </c>
      <c r="C150" s="28">
        <v>0</v>
      </c>
      <c r="D150" s="29">
        <v>0</v>
      </c>
      <c r="E150" s="29">
        <v>0</v>
      </c>
      <c r="F150" s="29">
        <v>0</v>
      </c>
      <c r="G150" s="28" t="s">
        <v>131</v>
      </c>
      <c r="H150" s="28" t="s">
        <v>132</v>
      </c>
      <c r="I150" s="30" t="s">
        <v>558</v>
      </c>
      <c r="J150" s="31">
        <v>1</v>
      </c>
      <c r="K150" s="30">
        <v>210</v>
      </c>
      <c r="L150" s="41">
        <v>2953993.31</v>
      </c>
      <c r="M150" s="31">
        <f t="shared" si="4"/>
        <v>211</v>
      </c>
      <c r="N150" s="30">
        <v>0</v>
      </c>
      <c r="O150" s="29">
        <v>0</v>
      </c>
      <c r="P150" s="29">
        <v>0</v>
      </c>
      <c r="Q150" s="30" t="s">
        <v>38</v>
      </c>
      <c r="R150" s="29">
        <v>0</v>
      </c>
      <c r="S150" s="29"/>
      <c r="T150" s="29">
        <f t="shared" si="5"/>
        <v>0</v>
      </c>
      <c r="U150" s="29">
        <v>0</v>
      </c>
      <c r="V150" s="32" t="s">
        <v>262</v>
      </c>
    </row>
    <row r="151" spans="1:22" ht="51" customHeight="1" x14ac:dyDescent="0.25">
      <c r="A151" s="28" t="s">
        <v>559</v>
      </c>
      <c r="B151" s="28" t="s">
        <v>560</v>
      </c>
      <c r="C151" s="28">
        <v>0</v>
      </c>
      <c r="D151" s="29">
        <v>0</v>
      </c>
      <c r="E151" s="29">
        <v>0</v>
      </c>
      <c r="F151" s="29">
        <v>0</v>
      </c>
      <c r="G151" s="28" t="s">
        <v>131</v>
      </c>
      <c r="H151" s="28" t="s">
        <v>132</v>
      </c>
      <c r="I151" s="30" t="s">
        <v>561</v>
      </c>
      <c r="J151" s="31">
        <v>1</v>
      </c>
      <c r="K151" s="30">
        <v>210</v>
      </c>
      <c r="L151" s="41">
        <v>1475947.39</v>
      </c>
      <c r="M151" s="31">
        <f t="shared" si="4"/>
        <v>211</v>
      </c>
      <c r="N151" s="30">
        <v>0</v>
      </c>
      <c r="O151" s="29">
        <v>0</v>
      </c>
      <c r="P151" s="29">
        <v>0</v>
      </c>
      <c r="Q151" s="30" t="s">
        <v>38</v>
      </c>
      <c r="R151" s="29">
        <v>0</v>
      </c>
      <c r="S151" s="29"/>
      <c r="T151" s="29">
        <f t="shared" si="5"/>
        <v>0</v>
      </c>
      <c r="U151" s="29">
        <v>0</v>
      </c>
      <c r="V151" s="32" t="s">
        <v>262</v>
      </c>
    </row>
    <row r="152" spans="1:22" ht="60" customHeight="1" x14ac:dyDescent="0.25">
      <c r="A152" s="28" t="s">
        <v>562</v>
      </c>
      <c r="B152" s="28" t="s">
        <v>563</v>
      </c>
      <c r="C152" s="28">
        <v>0</v>
      </c>
      <c r="D152" s="29">
        <v>0</v>
      </c>
      <c r="E152" s="29">
        <v>0</v>
      </c>
      <c r="F152" s="29">
        <v>0</v>
      </c>
      <c r="G152" s="28" t="s">
        <v>115</v>
      </c>
      <c r="H152" s="28" t="s">
        <v>116</v>
      </c>
      <c r="I152" s="30" t="s">
        <v>564</v>
      </c>
      <c r="J152" s="31">
        <v>1</v>
      </c>
      <c r="K152" s="30">
        <v>420</v>
      </c>
      <c r="L152" s="41">
        <v>7636142.0800000001</v>
      </c>
      <c r="M152" s="31">
        <f t="shared" si="4"/>
        <v>421</v>
      </c>
      <c r="N152" s="30">
        <v>0</v>
      </c>
      <c r="O152" s="29">
        <v>0</v>
      </c>
      <c r="P152" s="29">
        <v>0</v>
      </c>
      <c r="Q152" s="30" t="s">
        <v>38</v>
      </c>
      <c r="R152" s="29">
        <v>0</v>
      </c>
      <c r="S152" s="29"/>
      <c r="T152" s="29">
        <f t="shared" si="5"/>
        <v>0</v>
      </c>
      <c r="U152" s="29">
        <v>0</v>
      </c>
      <c r="V152" s="32" t="s">
        <v>262</v>
      </c>
    </row>
    <row r="153" spans="1:22" x14ac:dyDescent="0.25">
      <c r="L153" s="39"/>
      <c r="O153" s="8"/>
      <c r="P153" s="8"/>
      <c r="R153" s="8"/>
      <c r="S153" s="8"/>
      <c r="T153" s="8"/>
      <c r="U153" s="8"/>
    </row>
    <row r="154" spans="1:22" x14ac:dyDescent="0.25">
      <c r="L154" s="39"/>
      <c r="O154" s="8"/>
      <c r="P154" s="8"/>
      <c r="R154" s="8"/>
      <c r="S154" s="8"/>
      <c r="T154" s="8"/>
      <c r="U154" s="8"/>
    </row>
    <row r="155" spans="1:22" x14ac:dyDescent="0.25">
      <c r="L155" s="39"/>
      <c r="O155" s="8"/>
      <c r="P155" s="8"/>
      <c r="R155" s="8"/>
      <c r="S155" s="8"/>
      <c r="T155" s="8"/>
      <c r="U155" s="8"/>
    </row>
    <row r="156" spans="1:22" x14ac:dyDescent="0.25">
      <c r="L156" s="39"/>
      <c r="O156" s="8"/>
      <c r="P156" s="8"/>
      <c r="R156" s="8"/>
      <c r="S156" s="8"/>
      <c r="T156" s="8"/>
      <c r="U156" s="8"/>
    </row>
    <row r="157" spans="1:22" x14ac:dyDescent="0.25">
      <c r="L157" s="39"/>
      <c r="O157" s="8"/>
      <c r="P157" s="8"/>
      <c r="R157" s="8"/>
      <c r="S157" s="8"/>
      <c r="T157" s="8"/>
      <c r="U157" s="8"/>
    </row>
    <row r="158" spans="1:22" x14ac:dyDescent="0.25">
      <c r="L158" s="8"/>
      <c r="O158" s="8"/>
      <c r="P158" s="8"/>
      <c r="R158" s="44"/>
      <c r="S158" s="8"/>
      <c r="T158" s="8"/>
      <c r="U158" s="8"/>
    </row>
    <row r="159" spans="1:22" x14ac:dyDescent="0.25">
      <c r="L159" s="8"/>
      <c r="O159" s="8"/>
      <c r="P159" s="8"/>
      <c r="R159" s="44"/>
      <c r="S159" s="8"/>
      <c r="T159" s="8"/>
      <c r="U159" s="8"/>
    </row>
  </sheetData>
  <mergeCells count="20">
    <mergeCell ref="Q6:U6"/>
    <mergeCell ref="V6:V7"/>
    <mergeCell ref="A5:C5"/>
    <mergeCell ref="F5:H5"/>
    <mergeCell ref="J5:O5"/>
    <mergeCell ref="Q5:V5"/>
    <mergeCell ref="A6:A7"/>
    <mergeCell ref="B6:B7"/>
    <mergeCell ref="C6:F6"/>
    <mergeCell ref="G6:H6"/>
    <mergeCell ref="I6:M6"/>
    <mergeCell ref="N6:O6"/>
    <mergeCell ref="A1:V1"/>
    <mergeCell ref="A2:F2"/>
    <mergeCell ref="G2:V2"/>
    <mergeCell ref="A3:F3"/>
    <mergeCell ref="G3:V3"/>
    <mergeCell ref="F4:H4"/>
    <mergeCell ref="J4:O4"/>
    <mergeCell ref="Q4:V4"/>
  </mergeCells>
  <pageMargins left="0.51181102362204722" right="0.51181102362204722" top="0.78740157480314965" bottom="0.78740157480314965" header="0.31496062992125984" footer="0.31496062992125984"/>
  <pageSetup paperSize="9" scale="49" fitToHeight="0" orientation="landscape" r:id="rId1"/>
  <headerFooter>
    <oddHeader>&amp;R&amp;D</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1º TRIMESTRE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Tiago Mendes</dc:creator>
  <cp:lastModifiedBy>Tiago Mendes</cp:lastModifiedBy>
  <cp:lastPrinted>2024-11-26T14:41:00Z</cp:lastPrinted>
  <dcterms:created xsi:type="dcterms:W3CDTF">2024-11-26T14:39:34Z</dcterms:created>
  <dcterms:modified xsi:type="dcterms:W3CDTF">2024-11-26T14:41:30Z</dcterms:modified>
</cp:coreProperties>
</file>